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00" yWindow="660" windowWidth="32760" windowHeight="20580" tabRatio="439" activeTab="5"/>
  </bookViews>
  <sheets>
    <sheet name="Data Observer" sheetId="1" r:id="rId1"/>
    <sheet name="V-band Data Entry" sheetId="2" r:id="rId2"/>
    <sheet name="B-band Data Entry" sheetId="3" r:id="rId3"/>
    <sheet name="Calculations" sheetId="4" r:id="rId4"/>
    <sheet name="starparm_2019Jun05" sheetId="5" r:id="rId5"/>
    <sheet name="AAVSO.csv" sheetId="6" r:id="rId6"/>
    <sheet name="Read me" sheetId="7" r:id="rId7"/>
  </sheets>
  <definedNames>
    <definedName name="_xlfn.CONCAT" hidden="1">#NAME?</definedName>
    <definedName name="_xlfn.STDEV.S" hidden="1">#NAME?</definedName>
  </definedNames>
  <calcPr fullCalcOnLoad="1"/>
</workbook>
</file>

<file path=xl/comments2.xml><?xml version="1.0" encoding="utf-8"?>
<comments xmlns="http://schemas.openxmlformats.org/spreadsheetml/2006/main">
  <authors>
    <author>Microsoft Office-gebruiker</author>
  </authors>
  <commentList>
    <comment ref="C2" authorId="0">
      <text>
        <r>
          <rPr>
            <sz val="10"/>
            <rFont val="Calibri"/>
            <family val="2"/>
          </rPr>
          <t>mm/dd/yyyy, unless your countrry uses the dd/mm/yyyy format</t>
        </r>
      </text>
    </comment>
    <comment ref="F2" authorId="0">
      <text>
        <r>
          <rPr>
            <sz val="10"/>
            <rFont val="Calibri"/>
            <family val="2"/>
          </rPr>
          <t>The metadata is automatically included in the comment string. Here you can type additional comments for inclusion in the comment string.</t>
        </r>
      </text>
    </comment>
    <comment ref="C5" authorId="0">
      <text>
        <r>
          <rPr>
            <sz val="10"/>
            <rFont val="Calibri"/>
            <family val="2"/>
          </rPr>
          <t>After you typed the name of the variable, the spreadsheet should give the data of the variable, comp and check. If this does not happen, please check if the variable is in the starparm sheet, or with a different name in that sheet.</t>
        </r>
      </text>
    </comment>
  </commentList>
</comments>
</file>

<file path=xl/sharedStrings.xml><?xml version="1.0" encoding="utf-8"?>
<sst xmlns="http://schemas.openxmlformats.org/spreadsheetml/2006/main" count="1696" uniqueCount="1402">
  <si>
    <t>Name observer</t>
  </si>
  <si>
    <t>Street</t>
  </si>
  <si>
    <t>Zip-code</t>
  </si>
  <si>
    <t>City</t>
  </si>
  <si>
    <t>Country</t>
  </si>
  <si>
    <t>Latitude</t>
  </si>
  <si>
    <t>Longitude</t>
  </si>
  <si>
    <t>Band</t>
  </si>
  <si>
    <t>Gain</t>
  </si>
  <si>
    <t>Count 1</t>
  </si>
  <si>
    <t>Count 2</t>
  </si>
  <si>
    <t>Count 3</t>
  </si>
  <si>
    <t>Average count</t>
  </si>
  <si>
    <t>Star count</t>
  </si>
  <si>
    <t>Comp</t>
  </si>
  <si>
    <t>Sky comp</t>
  </si>
  <si>
    <t>Variable</t>
  </si>
  <si>
    <t>Sky variable</t>
  </si>
  <si>
    <t>Check</t>
  </si>
  <si>
    <t>Sky check</t>
  </si>
  <si>
    <t>Airmass</t>
  </si>
  <si>
    <t>Name Variable</t>
  </si>
  <si>
    <t>R.A. Variable</t>
  </si>
  <si>
    <t>Decl. Variable</t>
  </si>
  <si>
    <t>R.A. Comp</t>
  </si>
  <si>
    <t>Decl. Comp</t>
  </si>
  <si>
    <t>V Comp</t>
  </si>
  <si>
    <t>B-V Comp</t>
  </si>
  <si>
    <t>R.A. Check</t>
  </si>
  <si>
    <t>Decl. Check</t>
  </si>
  <si>
    <t>V Check</t>
  </si>
  <si>
    <t>Time (UT)</t>
  </si>
  <si>
    <t>Julian date</t>
  </si>
  <si>
    <t>Standard deviation variable</t>
  </si>
  <si>
    <t>Standard error variable</t>
  </si>
  <si>
    <t>(in hours)</t>
  </si>
  <si>
    <t>SAO 94554</t>
  </si>
  <si>
    <t>SAO 94700</t>
  </si>
  <si>
    <t>mean airmass</t>
  </si>
  <si>
    <t>correction</t>
  </si>
  <si>
    <t>(during var obs)</t>
  </si>
  <si>
    <t>mag</t>
  </si>
  <si>
    <t>var</t>
  </si>
  <si>
    <t>comp</t>
  </si>
  <si>
    <t>var-comp</t>
  </si>
  <si>
    <t>Altitude</t>
  </si>
  <si>
    <t>sec</t>
  </si>
  <si>
    <t>Magitude Comp</t>
  </si>
  <si>
    <t>Magnitude Check</t>
  </si>
  <si>
    <t>LST</t>
  </si>
  <si>
    <t>GJD observation</t>
  </si>
  <si>
    <t>HJD observation</t>
  </si>
  <si>
    <t>pi=</t>
  </si>
  <si>
    <t>eps=</t>
  </si>
  <si>
    <t>T=</t>
  </si>
  <si>
    <t>p=</t>
  </si>
  <si>
    <t>L=</t>
  </si>
  <si>
    <t>G=</t>
  </si>
  <si>
    <t>X=</t>
  </si>
  <si>
    <t>Y=</t>
  </si>
  <si>
    <t>alpha=</t>
  </si>
  <si>
    <t>delta=</t>
  </si>
  <si>
    <t>DT=</t>
  </si>
  <si>
    <t>AD CET</t>
  </si>
  <si>
    <t>AG CET</t>
  </si>
  <si>
    <t>KHI PEG</t>
  </si>
  <si>
    <t>T CET</t>
  </si>
  <si>
    <t>TU CAS</t>
  </si>
  <si>
    <t>TV PSC</t>
  </si>
  <si>
    <t>EG AND</t>
  </si>
  <si>
    <t>NSV 293</t>
  </si>
  <si>
    <t>NSV 305</t>
  </si>
  <si>
    <t>BQ TUC</t>
  </si>
  <si>
    <t>GAM CAS</t>
  </si>
  <si>
    <t>WW PSC</t>
  </si>
  <si>
    <t>CC TUC</t>
  </si>
  <si>
    <t>V442 AND</t>
  </si>
  <si>
    <t>ALF UMI</t>
  </si>
  <si>
    <t>AR CET</t>
  </si>
  <si>
    <t>NSV 15429</t>
  </si>
  <si>
    <t>WZ PSC</t>
  </si>
  <si>
    <t>AV ARI</t>
  </si>
  <si>
    <t>NSV 748</t>
  </si>
  <si>
    <t>OMI CET</t>
  </si>
  <si>
    <t>NSV 805</t>
  </si>
  <si>
    <t>15 TRI</t>
  </si>
  <si>
    <t>Z ERI</t>
  </si>
  <si>
    <t>RR ERI</t>
  </si>
  <si>
    <t>RZ ARI</t>
  </si>
  <si>
    <t>EH CET</t>
  </si>
  <si>
    <t>RHO PER</t>
  </si>
  <si>
    <t>BET PER</t>
  </si>
  <si>
    <t>NSV 1273</t>
  </si>
  <si>
    <t>BE CAM</t>
  </si>
  <si>
    <t>PI ERI</t>
  </si>
  <si>
    <t>NSV 1316</t>
  </si>
  <si>
    <t>X PER</t>
  </si>
  <si>
    <t>NSV 1558</t>
  </si>
  <si>
    <t>V1142 TAU</t>
  </si>
  <si>
    <t>OMI 1 ORI</t>
  </si>
  <si>
    <t>NSV 1777</t>
  </si>
  <si>
    <t>EPS AUR</t>
  </si>
  <si>
    <t>ZET AUR</t>
  </si>
  <si>
    <t>V398 AUR</t>
  </si>
  <si>
    <t>WZ DOR</t>
  </si>
  <si>
    <t>CE TAU</t>
  </si>
  <si>
    <t>V725 TAU</t>
  </si>
  <si>
    <t>WX MEN</t>
  </si>
  <si>
    <t>UPS AUR</t>
  </si>
  <si>
    <t>ALF ORI</t>
  </si>
  <si>
    <t>PI AUR</t>
  </si>
  <si>
    <t>SS LEP</t>
  </si>
  <si>
    <t>SW PIC</t>
  </si>
  <si>
    <t>ETA GEM</t>
  </si>
  <si>
    <t>UW LYN</t>
  </si>
  <si>
    <t>NSV 2912</t>
  </si>
  <si>
    <t>IS GEM</t>
  </si>
  <si>
    <t>V614 MON</t>
  </si>
  <si>
    <t>UY LYN</t>
  </si>
  <si>
    <t>BQ GEM</t>
  </si>
  <si>
    <t>NSV 3469</t>
  </si>
  <si>
    <t>NSV 3485</t>
  </si>
  <si>
    <t>OME CMA</t>
  </si>
  <si>
    <t>EW CMA</t>
  </si>
  <si>
    <t>NSV 3486</t>
  </si>
  <si>
    <t>RU CAM</t>
  </si>
  <si>
    <t>VZ CAM</t>
  </si>
  <si>
    <t>NSV 3550</t>
  </si>
  <si>
    <t>U MON</t>
  </si>
  <si>
    <t>UPS GEM</t>
  </si>
  <si>
    <t>NZ GEM</t>
  </si>
  <si>
    <t>BET GEM</t>
  </si>
  <si>
    <t>DU LYN</t>
  </si>
  <si>
    <t>NSV 3741</t>
  </si>
  <si>
    <t>BC CMI</t>
  </si>
  <si>
    <t>BL CNC</t>
  </si>
  <si>
    <t>NSV 17814</t>
  </si>
  <si>
    <t>BP CNC</t>
  </si>
  <si>
    <t>NSV 4093</t>
  </si>
  <si>
    <t>PI 2 UMA</t>
  </si>
  <si>
    <t>AK HYA</t>
  </si>
  <si>
    <t>BO CNC</t>
  </si>
  <si>
    <t>X CNC</t>
  </si>
  <si>
    <t>FZ CNC</t>
  </si>
  <si>
    <t>RHO UMA</t>
  </si>
  <si>
    <t>RS CNC</t>
  </si>
  <si>
    <t>NSV 4429</t>
  </si>
  <si>
    <t>IN HYA</t>
  </si>
  <si>
    <t>NSV 4506</t>
  </si>
  <si>
    <t>NSV 4510</t>
  </si>
  <si>
    <t>LAM LEO</t>
  </si>
  <si>
    <t>NSV 4545</t>
  </si>
  <si>
    <t>PSI LEO</t>
  </si>
  <si>
    <t>PI LEO</t>
  </si>
  <si>
    <t>U UMA</t>
  </si>
  <si>
    <t>NSV 4829</t>
  </si>
  <si>
    <t>NSV 4936</t>
  </si>
  <si>
    <t>RX LMI</t>
  </si>
  <si>
    <t>VY UMA</t>
  </si>
  <si>
    <t>ETA CAR</t>
  </si>
  <si>
    <t>VY LEO</t>
  </si>
  <si>
    <t>VW UMA</t>
  </si>
  <si>
    <t>NSV 5059</t>
  </si>
  <si>
    <t>CO UMA</t>
  </si>
  <si>
    <t>NSV 5107</t>
  </si>
  <si>
    <t>V535 CAR</t>
  </si>
  <si>
    <t>OME VIR</t>
  </si>
  <si>
    <t>VX CRT</t>
  </si>
  <si>
    <t>NU VIR</t>
  </si>
  <si>
    <t>TV UMA</t>
  </si>
  <si>
    <t>GK COM</t>
  </si>
  <si>
    <t>FW VIR</t>
  </si>
  <si>
    <t>NSV 5947</t>
  </si>
  <si>
    <t>PSI VIR</t>
  </si>
  <si>
    <t>TU CVN</t>
  </si>
  <si>
    <t>NSV 6046</t>
  </si>
  <si>
    <t>FS COM</t>
  </si>
  <si>
    <t>SW VIR</t>
  </si>
  <si>
    <t>FH VIR</t>
  </si>
  <si>
    <t>CL CVN</t>
  </si>
  <si>
    <t>FP VIR</t>
  </si>
  <si>
    <t>EV VIR</t>
  </si>
  <si>
    <t>FS VIR</t>
  </si>
  <si>
    <t>CY BOO</t>
  </si>
  <si>
    <t>CI BOO</t>
  </si>
  <si>
    <t>W BOO</t>
  </si>
  <si>
    <t>RR UMI</t>
  </si>
  <si>
    <t>TAU 4 SER</t>
  </si>
  <si>
    <t>ST HER</t>
  </si>
  <si>
    <t>V368 NOR</t>
  </si>
  <si>
    <t>AT DRA</t>
  </si>
  <si>
    <t>NSV 7676</t>
  </si>
  <si>
    <t>V2105 OPH</t>
  </si>
  <si>
    <t>ALF SCO</t>
  </si>
  <si>
    <t>NSV 7896</t>
  </si>
  <si>
    <t>AZ DRA</t>
  </si>
  <si>
    <t>VW DRA</t>
  </si>
  <si>
    <t>NSV 8556</t>
  </si>
  <si>
    <t>V642 HER</t>
  </si>
  <si>
    <t>V449 SCO</t>
  </si>
  <si>
    <t>V533 OPH</t>
  </si>
  <si>
    <t>NSV 9800</t>
  </si>
  <si>
    <t>V2388 OPH</t>
  </si>
  <si>
    <t>V441 HER</t>
  </si>
  <si>
    <t>V2048 OPH</t>
  </si>
  <si>
    <t>V2118 OPH</t>
  </si>
  <si>
    <t>V669 HER</t>
  </si>
  <si>
    <t>KAP LYR</t>
  </si>
  <si>
    <t>V4028 SGR</t>
  </si>
  <si>
    <t>NSV 24420</t>
  </si>
  <si>
    <t>V2291 OPH</t>
  </si>
  <si>
    <t>D SER</t>
  </si>
  <si>
    <t>AC HER</t>
  </si>
  <si>
    <t>XY LYR</t>
  </si>
  <si>
    <t>DEL SCT</t>
  </si>
  <si>
    <t>V3879 SGR</t>
  </si>
  <si>
    <t>V4405 SGR</t>
  </si>
  <si>
    <t>NSV 11271</t>
  </si>
  <si>
    <t>R SCT</t>
  </si>
  <si>
    <t>CX DRA</t>
  </si>
  <si>
    <t>NSV 11536</t>
  </si>
  <si>
    <t>R LYR</t>
  </si>
  <si>
    <t>CH CYG</t>
  </si>
  <si>
    <t>V2365 CYG</t>
  </si>
  <si>
    <t>V973 CYG</t>
  </si>
  <si>
    <t>V395 VUL</t>
  </si>
  <si>
    <t>KHI CYG</t>
  </si>
  <si>
    <t>NSV 12759</t>
  </si>
  <si>
    <t>V2008 CYG</t>
  </si>
  <si>
    <t>V4434 SGR</t>
  </si>
  <si>
    <t>NSV 12981</t>
  </si>
  <si>
    <t>P CYG</t>
  </si>
  <si>
    <t>NSV 13076</t>
  </si>
  <si>
    <t>EU DEL</t>
  </si>
  <si>
    <t>U DEL</t>
  </si>
  <si>
    <t>EN AQR</t>
  </si>
  <si>
    <t>NSV 13408</t>
  </si>
  <si>
    <t>NSV 13419</t>
  </si>
  <si>
    <t>NSV 13454</t>
  </si>
  <si>
    <t>V832 CYG</t>
  </si>
  <si>
    <t>FZ CEP</t>
  </si>
  <si>
    <t>V1070 CYG</t>
  </si>
  <si>
    <t>SX PAV</t>
  </si>
  <si>
    <t>V426 CEP</t>
  </si>
  <si>
    <t>BET CEP</t>
  </si>
  <si>
    <t>AB CYG</t>
  </si>
  <si>
    <t>W CYG</t>
  </si>
  <si>
    <t>NSV 13834</t>
  </si>
  <si>
    <t>V1339 CYG</t>
  </si>
  <si>
    <t>MIU CEP</t>
  </si>
  <si>
    <t>DM CEP</t>
  </si>
  <si>
    <t>BO OCT</t>
  </si>
  <si>
    <t>RW CEP</t>
  </si>
  <si>
    <t>V412 LAC</t>
  </si>
  <si>
    <t>DEL CEP</t>
  </si>
  <si>
    <t>NIU TUC</t>
  </si>
  <si>
    <t>NSV 14213</t>
  </si>
  <si>
    <t>LAM AQR</t>
  </si>
  <si>
    <t>IM PEG</t>
  </si>
  <si>
    <t>EW LAC</t>
  </si>
  <si>
    <t>V509 CAS</t>
  </si>
  <si>
    <t>OMI AND</t>
  </si>
  <si>
    <t>V342 PEG</t>
  </si>
  <si>
    <t>KX AND</t>
  </si>
  <si>
    <t>SZ PSC</t>
  </si>
  <si>
    <t>KHI AQR</t>
  </si>
  <si>
    <t>NSV 14484</t>
  </si>
  <si>
    <t>DR TUC</t>
  </si>
  <si>
    <t>HW PEG</t>
  </si>
  <si>
    <t>NSV 26113</t>
  </si>
  <si>
    <t>LAM AND</t>
  </si>
  <si>
    <t>NSV 14679</t>
  </si>
  <si>
    <t>TX PSC</t>
  </si>
  <si>
    <t>HH PEG</t>
  </si>
  <si>
    <t>PHI PEG</t>
  </si>
  <si>
    <t>SAO 91548</t>
  </si>
  <si>
    <t>RHO CAS</t>
  </si>
  <si>
    <t>YY PSC</t>
  </si>
  <si>
    <t>V884 SCO</t>
  </si>
  <si>
    <t>000-BBB-335</t>
  </si>
  <si>
    <t>000-BBB-683</t>
  </si>
  <si>
    <t>000-BBB-338</t>
  </si>
  <si>
    <t>000-BBB-510</t>
  </si>
  <si>
    <t>000-BBB-663</t>
  </si>
  <si>
    <t>000-BBB-684</t>
  </si>
  <si>
    <t>000-BBC-010</t>
  </si>
  <si>
    <t>000-BCX-604</t>
  </si>
  <si>
    <t>000-BCY-640</t>
  </si>
  <si>
    <t>000-BCY-657</t>
  </si>
  <si>
    <t>000-BBC-215</t>
  </si>
  <si>
    <t>000-BCY-665</t>
  </si>
  <si>
    <t>000-BCY-683</t>
  </si>
  <si>
    <t>000-BCY-681</t>
  </si>
  <si>
    <t>000-BBF-045</t>
  </si>
  <si>
    <t>000-BCV-438</t>
  </si>
  <si>
    <t>000-BCY-793</t>
  </si>
  <si>
    <t>000-BCY-797</t>
  </si>
  <si>
    <t>000-BCT-839</t>
  </si>
  <si>
    <t>000-BCX-623</t>
  </si>
  <si>
    <t>000-BBD-706</t>
  </si>
  <si>
    <t>000-BBD-750</t>
  </si>
  <si>
    <t>000-BCY-872</t>
  </si>
  <si>
    <t>000-BBF-457</t>
  </si>
  <si>
    <t>000-BBF-587</t>
  </si>
  <si>
    <t>000-BBF-613</t>
  </si>
  <si>
    <t>000-BCY-907</t>
  </si>
  <si>
    <t>000-BBF-683</t>
  </si>
  <si>
    <t>000-BBF-713</t>
  </si>
  <si>
    <t>000-BCY-977</t>
  </si>
  <si>
    <t>000-BCT-952</t>
  </si>
  <si>
    <t>000-BCY-988</t>
  </si>
  <si>
    <t>000-BBG-249</t>
  </si>
  <si>
    <t>000-BBG-453</t>
  </si>
  <si>
    <t>000-BCZ-042</t>
  </si>
  <si>
    <t>000-BCX-312</t>
  </si>
  <si>
    <t>000-BCZ-100</t>
  </si>
  <si>
    <t>000-BCZ-113</t>
  </si>
  <si>
    <t>000-BCT-905</t>
  </si>
  <si>
    <t>000-BCT-906</t>
  </si>
  <si>
    <t>000-BBH-903</t>
  </si>
  <si>
    <t>000-BCV-839</t>
  </si>
  <si>
    <t>000-BBJ-529</t>
  </si>
  <si>
    <t>000-BBJ-814</t>
  </si>
  <si>
    <t>000-BCZ-299</t>
  </si>
  <si>
    <t>000-BCZ-320</t>
  </si>
  <si>
    <t>000-BBK-383</t>
  </si>
  <si>
    <t>000-BCZ-347</t>
  </si>
  <si>
    <t>000-BBK-679</t>
  </si>
  <si>
    <t>000-BCZ-364</t>
  </si>
  <si>
    <t>000-BBK-904</t>
  </si>
  <si>
    <t>000-BCZ-389</t>
  </si>
  <si>
    <t>000-BCZ-396</t>
  </si>
  <si>
    <t>000-BBL-132</t>
  </si>
  <si>
    <t>000-BBL-953</t>
  </si>
  <si>
    <t>000-BBM-252</t>
  </si>
  <si>
    <t>000-BBM-730</t>
  </si>
  <si>
    <t>000-BCV-939</t>
  </si>
  <si>
    <t>000-BCZ-534</t>
  </si>
  <si>
    <t>000-BCZ-537</t>
  </si>
  <si>
    <t>000-BBM-767</t>
  </si>
  <si>
    <t>000-BBM-740</t>
  </si>
  <si>
    <t>000-BCX-765</t>
  </si>
  <si>
    <t>000-BBM-942</t>
  </si>
  <si>
    <t>000-BBN-226</t>
  </si>
  <si>
    <t>000-BCX-771</t>
  </si>
  <si>
    <t>000-BBN-215</t>
  </si>
  <si>
    <t>000-BCZ-603</t>
  </si>
  <si>
    <t>000-BBN-569</t>
  </si>
  <si>
    <t>000-BCZ-620</t>
  </si>
  <si>
    <t>000-BCZ-621</t>
  </si>
  <si>
    <t>000-BCZ-630</t>
  </si>
  <si>
    <t>000-BCV-064</t>
  </si>
  <si>
    <t>000-BCT-992</t>
  </si>
  <si>
    <t>000-BCZ-673</t>
  </si>
  <si>
    <t>000-BCT-994</t>
  </si>
  <si>
    <t>000-BCZ-692</t>
  </si>
  <si>
    <t>000-BCZ-712</t>
  </si>
  <si>
    <t>000-BBP-841</t>
  </si>
  <si>
    <t>000-BCT-993</t>
  </si>
  <si>
    <t>000-BBQ-052</t>
  </si>
  <si>
    <t>000-BCV-004</t>
  </si>
  <si>
    <t>000-BCZ-751</t>
  </si>
  <si>
    <t>000-BBQ-327</t>
  </si>
  <si>
    <t>000-BCX-791</t>
  </si>
  <si>
    <t>000-BBQ-445</t>
  </si>
  <si>
    <t>000-BCZ-790</t>
  </si>
  <si>
    <t>000-BBQ-492</t>
  </si>
  <si>
    <t>000-BCZ-793</t>
  </si>
  <si>
    <t>000-BBQ-574</t>
  </si>
  <si>
    <t>000-BCZ-802</t>
  </si>
  <si>
    <t>000-BCZ-836</t>
  </si>
  <si>
    <t>000-BCX-399</t>
  </si>
  <si>
    <t>000-BBR-433</t>
  </si>
  <si>
    <t>000-BBR-584</t>
  </si>
  <si>
    <t>000-BCW-226</t>
  </si>
  <si>
    <t>000-BBR-656</t>
  </si>
  <si>
    <t>000-BBR-655</t>
  </si>
  <si>
    <t>000-BCW-203</t>
  </si>
  <si>
    <t>000-BBR-892</t>
  </si>
  <si>
    <t>000-BBR-903</t>
  </si>
  <si>
    <t>000-BCX-415</t>
  </si>
  <si>
    <t>000-BCZ-940</t>
  </si>
  <si>
    <t>000-BCZ-956</t>
  </si>
  <si>
    <t>000-BFP-668</t>
  </si>
  <si>
    <t>000-BCZ-980</t>
  </si>
  <si>
    <t>000-BDB-328</t>
  </si>
  <si>
    <t>000-BBS-388</t>
  </si>
  <si>
    <t>000-BBS-578</t>
  </si>
  <si>
    <t>000-BCX-526</t>
  </si>
  <si>
    <t>000-BBT-262</t>
  </si>
  <si>
    <t>000-BCX-539</t>
  </si>
  <si>
    <t>000-BBT-346</t>
  </si>
  <si>
    <t>000-BDB-149</t>
  </si>
  <si>
    <t>000-BBT-465</t>
  </si>
  <si>
    <t>000-BBT-518</t>
  </si>
  <si>
    <t>000-BBT-532</t>
  </si>
  <si>
    <t>000-BDB-191</t>
  </si>
  <si>
    <t>000-BBT-783</t>
  </si>
  <si>
    <t>000-BBV-252</t>
  </si>
  <si>
    <t>000-BCX-524</t>
  </si>
  <si>
    <t>000-BDB-292</t>
  </si>
  <si>
    <t>000-BCT-918</t>
  </si>
  <si>
    <t>000-BBV-632</t>
  </si>
  <si>
    <t>000-BCX-442</t>
  </si>
  <si>
    <t>000-BBW-373</t>
  </si>
  <si>
    <t>000-BBW-616</t>
  </si>
  <si>
    <t>000-BDB-508</t>
  </si>
  <si>
    <t>000-BBX-257</t>
  </si>
  <si>
    <t>000-BDB-528</t>
  </si>
  <si>
    <t>000-BCW-549</t>
  </si>
  <si>
    <t>000-BBX-552</t>
  </si>
  <si>
    <t>000-BBX-845</t>
  </si>
  <si>
    <t>000-BBX-864</t>
  </si>
  <si>
    <t>000-BBY-765</t>
  </si>
  <si>
    <t>000-BBY-830</t>
  </si>
  <si>
    <t>000-BCW-033</t>
  </si>
  <si>
    <t>000-BBZ-194</t>
  </si>
  <si>
    <t>000-BBZ-578</t>
  </si>
  <si>
    <t>000-BBZ-551</t>
  </si>
  <si>
    <t>000-BDB-718</t>
  </si>
  <si>
    <t>000-BBZ-706</t>
  </si>
  <si>
    <t>000-BBZ-938</t>
  </si>
  <si>
    <t>000-BDB-746</t>
  </si>
  <si>
    <t>000-BCB-583</t>
  </si>
  <si>
    <t>000-BDB-799</t>
  </si>
  <si>
    <t>000-BCX-099</t>
  </si>
  <si>
    <t>000-BDB-841</t>
  </si>
  <si>
    <t>000-BCC-304</t>
  </si>
  <si>
    <t>000-BCC-357</t>
  </si>
  <si>
    <t>000-BCC-490</t>
  </si>
  <si>
    <t>000-BCC-857</t>
  </si>
  <si>
    <t>000-BCD-005</t>
  </si>
  <si>
    <t>000-BCX-086</t>
  </si>
  <si>
    <t>000-BCX-110</t>
  </si>
  <si>
    <t>000-BDB-913</t>
  </si>
  <si>
    <t>000-BCD-304</t>
  </si>
  <si>
    <t>000-BCD-274</t>
  </si>
  <si>
    <t>000-BCD-669</t>
  </si>
  <si>
    <t>000-BCD-657</t>
  </si>
  <si>
    <t>000-BCG-667</t>
  </si>
  <si>
    <t>000-BDC-050</t>
  </si>
  <si>
    <t>000-BCH-803</t>
  </si>
  <si>
    <t>000-BCJ-273</t>
  </si>
  <si>
    <t>000-BDC-152</t>
  </si>
  <si>
    <t>000-BCK-283</t>
  </si>
  <si>
    <t>000-BCK-561</t>
  </si>
  <si>
    <t>000-BDC-249</t>
  </si>
  <si>
    <t>000-BCL-168</t>
  </si>
  <si>
    <t>000-BCL-228</t>
  </si>
  <si>
    <t>000-BCX-921</t>
  </si>
  <si>
    <t>000-BCM-022</t>
  </si>
  <si>
    <t>000-BCM-398</t>
  </si>
  <si>
    <t>000-BCM-531</t>
  </si>
  <si>
    <t>000-BCM-875</t>
  </si>
  <si>
    <t>000-BCM-928</t>
  </si>
  <si>
    <t>000-BDC-392</t>
  </si>
  <si>
    <t>000-BCV-695</t>
  </si>
  <si>
    <t>000-BCN-722</t>
  </si>
  <si>
    <t>000-BCN-832</t>
  </si>
  <si>
    <t>000-BCW-656</t>
  </si>
  <si>
    <t>000-BCN-944</t>
  </si>
  <si>
    <t>000-BDC-449</t>
  </si>
  <si>
    <t>000-BCP-087</t>
  </si>
  <si>
    <t>000-BCP-079</t>
  </si>
  <si>
    <t>000-BCP-115</t>
  </si>
  <si>
    <t>000-BCP-188</t>
  </si>
  <si>
    <t>000-BCP-244</t>
  </si>
  <si>
    <t>000-BCQ-016</t>
  </si>
  <si>
    <t>000-BDC-538</t>
  </si>
  <si>
    <t>000-BCQ-372</t>
  </si>
  <si>
    <t>000-BDC-569</t>
  </si>
  <si>
    <t>000-BDC-570</t>
  </si>
  <si>
    <t>000-BDC-576</t>
  </si>
  <si>
    <t>000-BCQ-525</t>
  </si>
  <si>
    <t>000-BDD-589</t>
  </si>
  <si>
    <t>000-BCQ-907</t>
  </si>
  <si>
    <t>000-BCR-002</t>
  </si>
  <si>
    <t>000-BCR-088</t>
  </si>
  <si>
    <t>000-BCR-111</t>
  </si>
  <si>
    <t>000-BCR-221</t>
  </si>
  <si>
    <t>000-BCR-216</t>
  </si>
  <si>
    <t>000-BCR-327</t>
  </si>
  <si>
    <t>000-BCR-358</t>
  </si>
  <si>
    <t>000-BCR-363</t>
  </si>
  <si>
    <t>000-BDC-654</t>
  </si>
  <si>
    <t>000-BCW-706</t>
  </si>
  <si>
    <t>000-BDC-676</t>
  </si>
  <si>
    <t>000-BCR-733</t>
  </si>
  <si>
    <t>000-BCR-886</t>
  </si>
  <si>
    <t>000-BCR-950</t>
  </si>
  <si>
    <t>000-BCW-700</t>
  </si>
  <si>
    <t>000-BDC-698</t>
  </si>
  <si>
    <t>000-BDC-699</t>
  </si>
  <si>
    <t>000-BCS-075</t>
  </si>
  <si>
    <t>000-BDC-724</t>
  </si>
  <si>
    <t>000-BCX-158</t>
  </si>
  <si>
    <t>AUID</t>
  </si>
  <si>
    <t>0009+19</t>
  </si>
  <si>
    <t>0016-20</t>
  </si>
  <si>
    <t>0020+50</t>
  </si>
  <si>
    <t>0022+17</t>
  </si>
  <si>
    <t>0039+40</t>
  </si>
  <si>
    <t>0041+14</t>
  </si>
  <si>
    <t>0043+56</t>
  </si>
  <si>
    <t>0049-63</t>
  </si>
  <si>
    <t>0050+60</t>
  </si>
  <si>
    <t>0054+05</t>
  </si>
  <si>
    <t>0058-66</t>
  </si>
  <si>
    <t>0058+47</t>
  </si>
  <si>
    <t>0122+88</t>
  </si>
  <si>
    <t>0155-09</t>
  </si>
  <si>
    <t>0157+13</t>
  </si>
  <si>
    <t>0200+07</t>
  </si>
  <si>
    <t>0205+19</t>
  </si>
  <si>
    <t>0207+14</t>
  </si>
  <si>
    <t>0214-03</t>
  </si>
  <si>
    <t>0216-00</t>
  </si>
  <si>
    <t>0231+33C</t>
  </si>
  <si>
    <t>0243-12</t>
  </si>
  <si>
    <t>0247-08</t>
  </si>
  <si>
    <t>0250+17</t>
  </si>
  <si>
    <t>0251+04</t>
  </si>
  <si>
    <t>0258+38</t>
  </si>
  <si>
    <t>0301+40</t>
  </si>
  <si>
    <t>0339+24C</t>
  </si>
  <si>
    <t>0340+65</t>
  </si>
  <si>
    <t>0341-12</t>
  </si>
  <si>
    <t>0342+24</t>
  </si>
  <si>
    <t>0349+30</t>
  </si>
  <si>
    <t>0413+60</t>
  </si>
  <si>
    <t>0417+22</t>
  </si>
  <si>
    <t>0446+14</t>
  </si>
  <si>
    <t>0453-66</t>
  </si>
  <si>
    <t>0454+43</t>
  </si>
  <si>
    <t>0455+40</t>
  </si>
  <si>
    <t>0458+51</t>
  </si>
  <si>
    <t>0506-63</t>
  </si>
  <si>
    <t>0526+18</t>
  </si>
  <si>
    <t>0532+26</t>
  </si>
  <si>
    <t>0537-73</t>
  </si>
  <si>
    <t>0544+37</t>
  </si>
  <si>
    <t>0549+07</t>
  </si>
  <si>
    <t>0552+45</t>
  </si>
  <si>
    <t>0600-16</t>
  </si>
  <si>
    <t>0600-60</t>
  </si>
  <si>
    <t>0608+22</t>
  </si>
  <si>
    <t>0608+61</t>
  </si>
  <si>
    <t>0614-14</t>
  </si>
  <si>
    <t>0616+22</t>
  </si>
  <si>
    <t>0643+32</t>
  </si>
  <si>
    <t>0656-03</t>
  </si>
  <si>
    <t>0705+51</t>
  </si>
  <si>
    <t>0707+16</t>
  </si>
  <si>
    <t>0708+25</t>
  </si>
  <si>
    <t>0709+28</t>
  </si>
  <si>
    <t>0710-26A</t>
  </si>
  <si>
    <t>0710-26B</t>
  </si>
  <si>
    <t>0710+08</t>
  </si>
  <si>
    <t>0710+69</t>
  </si>
  <si>
    <t>0710+82</t>
  </si>
  <si>
    <t>0716+20</t>
  </si>
  <si>
    <t>0726-09</t>
  </si>
  <si>
    <t>0729+27</t>
  </si>
  <si>
    <t>0736+14</t>
  </si>
  <si>
    <t>0739+28</t>
  </si>
  <si>
    <t>0740+37</t>
  </si>
  <si>
    <t>0743-15B</t>
  </si>
  <si>
    <t>0746+03</t>
  </si>
  <si>
    <t>0800+22</t>
  </si>
  <si>
    <t>0810+62</t>
  </si>
  <si>
    <t>0821+13</t>
  </si>
  <si>
    <t>0822+61</t>
  </si>
  <si>
    <t>0831+64</t>
  </si>
  <si>
    <t>0835-16</t>
  </si>
  <si>
    <t>0846+28</t>
  </si>
  <si>
    <t>0849+17</t>
  </si>
  <si>
    <t>0853+18</t>
  </si>
  <si>
    <t>0853+68</t>
  </si>
  <si>
    <t>0904+31</t>
  </si>
  <si>
    <t>0911-55</t>
  </si>
  <si>
    <t>0915+00</t>
  </si>
  <si>
    <t>0923+63</t>
  </si>
  <si>
    <t>0925+35</t>
  </si>
  <si>
    <t>0926+23</t>
  </si>
  <si>
    <t>0930+31</t>
  </si>
  <si>
    <t>0938+14</t>
  </si>
  <si>
    <t>0954+08</t>
  </si>
  <si>
    <t>1008+60</t>
  </si>
  <si>
    <t>1016+42</t>
  </si>
  <si>
    <t>1035+66</t>
  </si>
  <si>
    <t>1036+32</t>
  </si>
  <si>
    <t>1038+67</t>
  </si>
  <si>
    <t>1041-59</t>
  </si>
  <si>
    <t>1050+06</t>
  </si>
  <si>
    <t>1052+70</t>
  </si>
  <si>
    <t>1056-01</t>
  </si>
  <si>
    <t>1103+36</t>
  </si>
  <si>
    <t>1104+43</t>
  </si>
  <si>
    <t>1113-67</t>
  </si>
  <si>
    <t>1133+08</t>
  </si>
  <si>
    <t>1134-16</t>
  </si>
  <si>
    <t>1140+07</t>
  </si>
  <si>
    <t>1140+36</t>
  </si>
  <si>
    <t>1154+19</t>
  </si>
  <si>
    <t>1233+02</t>
  </si>
  <si>
    <t>1242+04B</t>
  </si>
  <si>
    <t>1249-09</t>
  </si>
  <si>
    <t>1250+47</t>
  </si>
  <si>
    <t>1254+17</t>
  </si>
  <si>
    <t>1301+23</t>
  </si>
  <si>
    <t>1308-02</t>
  </si>
  <si>
    <t>1311+07</t>
  </si>
  <si>
    <t>1319+37</t>
  </si>
  <si>
    <t>1330+08</t>
  </si>
  <si>
    <t>1407-13</t>
  </si>
  <si>
    <t>1409+03</t>
  </si>
  <si>
    <t>1412+15</t>
  </si>
  <si>
    <t>1417+29</t>
  </si>
  <si>
    <t>1439+26</t>
  </si>
  <si>
    <t>1456+66</t>
  </si>
  <si>
    <t>1531+15</t>
  </si>
  <si>
    <t>1547+48</t>
  </si>
  <si>
    <t>1608-53B</t>
  </si>
  <si>
    <t>1615+60</t>
  </si>
  <si>
    <t>1618+34B</t>
  </si>
  <si>
    <t>1622-07</t>
  </si>
  <si>
    <t>1623-26</t>
  </si>
  <si>
    <t>1636+49</t>
  </si>
  <si>
    <t>1642+72</t>
  </si>
  <si>
    <t>1715+60</t>
  </si>
  <si>
    <t>1717+46</t>
  </si>
  <si>
    <t>1729+14</t>
  </si>
  <si>
    <t>1730-32</t>
  </si>
  <si>
    <t>1747-02</t>
  </si>
  <si>
    <t>1747+01</t>
  </si>
  <si>
    <t>1749+11</t>
  </si>
  <si>
    <t>1751+26</t>
  </si>
  <si>
    <t>1755+04</t>
  </si>
  <si>
    <t>1756+11</t>
  </si>
  <si>
    <t>1808+31B</t>
  </si>
  <si>
    <t>1811+36B</t>
  </si>
  <si>
    <t>1815-25</t>
  </si>
  <si>
    <t>1819+49</t>
  </si>
  <si>
    <t>1820+07</t>
  </si>
  <si>
    <t>1822+00</t>
  </si>
  <si>
    <t>1826+21</t>
  </si>
  <si>
    <t>1834+39</t>
  </si>
  <si>
    <t>1836-09</t>
  </si>
  <si>
    <t>1837-19</t>
  </si>
  <si>
    <t>1840-19</t>
  </si>
  <si>
    <t>1840+39</t>
  </si>
  <si>
    <t>1842-05</t>
  </si>
  <si>
    <t>1844+52</t>
  </si>
  <si>
    <t>1850+06</t>
  </si>
  <si>
    <t>1852+43</t>
  </si>
  <si>
    <t>1921+50</t>
  </si>
  <si>
    <t>1921+50M</t>
  </si>
  <si>
    <t>1941+40</t>
  </si>
  <si>
    <t>1946+22</t>
  </si>
  <si>
    <t>1946+32</t>
  </si>
  <si>
    <t>2000+56</t>
  </si>
  <si>
    <t>2002+35B</t>
  </si>
  <si>
    <t>2009-36</t>
  </si>
  <si>
    <t>2013+40</t>
  </si>
  <si>
    <t>2014+37A</t>
  </si>
  <si>
    <t>2020+09</t>
  </si>
  <si>
    <t>2033+17B</t>
  </si>
  <si>
    <t>2040+17</t>
  </si>
  <si>
    <t>2042-05</t>
  </si>
  <si>
    <t>2050+13</t>
  </si>
  <si>
    <t>2051-10</t>
  </si>
  <si>
    <t>2055+18</t>
  </si>
  <si>
    <t>2056+47</t>
  </si>
  <si>
    <t>2116+55</t>
  </si>
  <si>
    <t>2118+40</t>
  </si>
  <si>
    <t>2119-69</t>
  </si>
  <si>
    <t>2124+59</t>
  </si>
  <si>
    <t>2127+70</t>
  </si>
  <si>
    <t>2132+31</t>
  </si>
  <si>
    <t>2132+44</t>
  </si>
  <si>
    <t>2136+42</t>
  </si>
  <si>
    <t>2138+45</t>
  </si>
  <si>
    <t>2140+58</t>
  </si>
  <si>
    <t>2206+72</t>
  </si>
  <si>
    <t>2208-80</t>
  </si>
  <si>
    <t>2219+55A</t>
  </si>
  <si>
    <t>2225+47</t>
  </si>
  <si>
    <t>2225+57</t>
  </si>
  <si>
    <t>2226-62</t>
  </si>
  <si>
    <t>2229+56</t>
  </si>
  <si>
    <t>2247-08</t>
  </si>
  <si>
    <t>2248+16</t>
  </si>
  <si>
    <t>2252+48</t>
  </si>
  <si>
    <t>2255+56</t>
  </si>
  <si>
    <t>2257+41</t>
  </si>
  <si>
    <t>2302+20</t>
  </si>
  <si>
    <t>2302+49</t>
  </si>
  <si>
    <t>2308+02</t>
  </si>
  <si>
    <t>2311-08</t>
  </si>
  <si>
    <t>2313+48C</t>
  </si>
  <si>
    <t>2317-60</t>
  </si>
  <si>
    <t>2328+21</t>
  </si>
  <si>
    <t>2330+24</t>
  </si>
  <si>
    <t>2332+45</t>
  </si>
  <si>
    <t>2338+09</t>
  </si>
  <si>
    <t>2341+02</t>
  </si>
  <si>
    <t>2346+08</t>
  </si>
  <si>
    <t>2347+18</t>
  </si>
  <si>
    <t>2347+21</t>
  </si>
  <si>
    <t>2349+56</t>
  </si>
  <si>
    <t>2356-06</t>
  </si>
  <si>
    <t>9999+99</t>
  </si>
  <si>
    <t>Designation</t>
  </si>
  <si>
    <t>0009-08</t>
  </si>
  <si>
    <t>0022-12</t>
  </si>
  <si>
    <t>HR 16</t>
  </si>
  <si>
    <t>SAO 147175</t>
  </si>
  <si>
    <t>HR 22</t>
  </si>
  <si>
    <t>SAO 166296</t>
  </si>
  <si>
    <t>SAO 21418</t>
  </si>
  <si>
    <t>SAO 91912</t>
  </si>
  <si>
    <t>SAO 54074</t>
  </si>
  <si>
    <t>HR 225</t>
  </si>
  <si>
    <t>HD 4029</t>
  </si>
  <si>
    <t>HR 186</t>
  </si>
  <si>
    <t>SAO 11484</t>
  </si>
  <si>
    <t>HR 294</t>
  </si>
  <si>
    <t>HR 270</t>
  </si>
  <si>
    <t>HR 189</t>
  </si>
  <si>
    <t>HD 11964</t>
  </si>
  <si>
    <t>HR 624</t>
  </si>
  <si>
    <t>HR 635</t>
  </si>
  <si>
    <t>HR 609</t>
  </si>
  <si>
    <t>SAO 129798</t>
  </si>
  <si>
    <t>HR 672</t>
  </si>
  <si>
    <t>HR 738</t>
  </si>
  <si>
    <t>SAO 148550</t>
  </si>
  <si>
    <t>SAO 148721</t>
  </si>
  <si>
    <t>SAO 93118</t>
  </si>
  <si>
    <t>HR 908</t>
  </si>
  <si>
    <t>SAO 56224</t>
  </si>
  <si>
    <t>SAO 38787</t>
  </si>
  <si>
    <t>HD 23246</t>
  </si>
  <si>
    <t>HR 1129</t>
  </si>
  <si>
    <t>HR 1235</t>
  </si>
  <si>
    <t>SAO 76225</t>
  </si>
  <si>
    <t>SAO 56531</t>
  </si>
  <si>
    <t>HR 1313</t>
  </si>
  <si>
    <t>SAO 76593</t>
  </si>
  <si>
    <t>HR 1580</t>
  </si>
  <si>
    <t>HR 1540</t>
  </si>
  <si>
    <t>HR 1729</t>
  </si>
  <si>
    <t>HR 1561</t>
  </si>
  <si>
    <t>HR 1867</t>
  </si>
  <si>
    <t>SAO 77331</t>
  </si>
  <si>
    <t>HR 1953</t>
  </si>
  <si>
    <t>HR 2012</t>
  </si>
  <si>
    <t>SAO 112958</t>
  </si>
  <si>
    <t>HR 2096</t>
  </si>
  <si>
    <t>SAO 151178</t>
  </si>
  <si>
    <t>HR 2102</t>
  </si>
  <si>
    <t>SAO 78079</t>
  </si>
  <si>
    <t>HR 2201</t>
  </si>
  <si>
    <t>HR 2303</t>
  </si>
  <si>
    <t>HR 2230</t>
  </si>
  <si>
    <t>SAO 59574</t>
  </si>
  <si>
    <t>SAO 134133</t>
  </si>
  <si>
    <t>HR 2737</t>
  </si>
  <si>
    <t>HR 2632</t>
  </si>
  <si>
    <t>HR 2808</t>
  </si>
  <si>
    <t>SAO 173047</t>
  </si>
  <si>
    <t>SAO 173411</t>
  </si>
  <si>
    <t>HR 2682</t>
  </si>
  <si>
    <t>SAO 6167</t>
  </si>
  <si>
    <t>SAO 1194</t>
  </si>
  <si>
    <t>HR 2846</t>
  </si>
  <si>
    <t>SAO 152986</t>
  </si>
  <si>
    <t>HR 2985</t>
  </si>
  <si>
    <t>HR 2953</t>
  </si>
  <si>
    <t>SAO 60198</t>
  </si>
  <si>
    <t>HR 2924</t>
  </si>
  <si>
    <t>HR 3044</t>
  </si>
  <si>
    <t>HR 3093</t>
  </si>
  <si>
    <t>HR 3176</t>
  </si>
  <si>
    <t>HR 3648</t>
  </si>
  <si>
    <t>HR 3376</t>
  </si>
  <si>
    <t>SAO 154628</t>
  </si>
  <si>
    <t>HR 3522</t>
  </si>
  <si>
    <t>SAO 98245</t>
  </si>
  <si>
    <t>HR 3558</t>
  </si>
  <si>
    <t>HR 3609</t>
  </si>
  <si>
    <t>SAO 61276</t>
  </si>
  <si>
    <t>HR 3791</t>
  </si>
  <si>
    <t>SAO 136844</t>
  </si>
  <si>
    <t>HR 3764</t>
  </si>
  <si>
    <t>HR 3731</t>
  </si>
  <si>
    <t>HR 3850</t>
  </si>
  <si>
    <t>HR 3877</t>
  </si>
  <si>
    <t>HR 3980</t>
  </si>
  <si>
    <t>HR 4052</t>
  </si>
  <si>
    <t>HR 4067</t>
  </si>
  <si>
    <t>HR 4176</t>
  </si>
  <si>
    <t>HR 4258</t>
  </si>
  <si>
    <t>SAO 15260</t>
  </si>
  <si>
    <t>SAO 238242</t>
  </si>
  <si>
    <t>HR 4207</t>
  </si>
  <si>
    <t>SAO 7272</t>
  </si>
  <si>
    <t>HR 4233</t>
  </si>
  <si>
    <t>SAO 62421</t>
  </si>
  <si>
    <t>HR 4264</t>
  </si>
  <si>
    <t>HR 4448</t>
  </si>
  <si>
    <t>HR 4559</t>
  </si>
  <si>
    <t>HR 4451</t>
  </si>
  <si>
    <t>SAO 62680</t>
  </si>
  <si>
    <t>SAO 99904</t>
  </si>
  <si>
    <t>HR 4878</t>
  </si>
  <si>
    <t>HR 4957</t>
  </si>
  <si>
    <t>HR 4919</t>
  </si>
  <si>
    <t>HR 4929</t>
  </si>
  <si>
    <t>SAO 82650</t>
  </si>
  <si>
    <t>SAO 139218</t>
  </si>
  <si>
    <t>SAO 119882</t>
  </si>
  <si>
    <t>HR 5022</t>
  </si>
  <si>
    <t>SAO 120075</t>
  </si>
  <si>
    <t>SAO 158439</t>
  </si>
  <si>
    <t>HR 5283</t>
  </si>
  <si>
    <t>HR 5254</t>
  </si>
  <si>
    <t>HD 126307</t>
  </si>
  <si>
    <t>SAO 83427</t>
  </si>
  <si>
    <t>HR 5691</t>
  </si>
  <si>
    <t>SAO 101678</t>
  </si>
  <si>
    <t>SAO 45726</t>
  </si>
  <si>
    <t>HR 6073</t>
  </si>
  <si>
    <t>SAO 17073</t>
  </si>
  <si>
    <t>HR 6108</t>
  </si>
  <si>
    <t>SAO 141187</t>
  </si>
  <si>
    <t>SAO 184437</t>
  </si>
  <si>
    <t>HR 6090</t>
  </si>
  <si>
    <t>SAO 8544</t>
  </si>
  <si>
    <t>SAO 17360</t>
  </si>
  <si>
    <t>HR 6467</t>
  </si>
  <si>
    <t>HR 6542</t>
  </si>
  <si>
    <t>SAO 208945</t>
  </si>
  <si>
    <t>SAO 141913</t>
  </si>
  <si>
    <t>HD 166095</t>
  </si>
  <si>
    <t>SAO 85437</t>
  </si>
  <si>
    <t>SAO 123017</t>
  </si>
  <si>
    <t>HR 6768</t>
  </si>
  <si>
    <t>HR 6901</t>
  </si>
  <si>
    <t>HR 6846</t>
  </si>
  <si>
    <t>HR 6886</t>
  </si>
  <si>
    <t>SAO 123353</t>
  </si>
  <si>
    <t>SAO 142348</t>
  </si>
  <si>
    <t>SAO 86145</t>
  </si>
  <si>
    <t>HR 7017</t>
  </si>
  <si>
    <t>SAO 142692</t>
  </si>
  <si>
    <t>HR 7046</t>
  </si>
  <si>
    <t>SAO 47909</t>
  </si>
  <si>
    <t>HR 7083</t>
  </si>
  <si>
    <t>SAO 31133</t>
  </si>
  <si>
    <t>SAO 124112</t>
  </si>
  <si>
    <t>SAO 31586</t>
  </si>
  <si>
    <t>SAO 68897</t>
  </si>
  <si>
    <t>SAO 87883</t>
  </si>
  <si>
    <t>SAO 69116</t>
  </si>
  <si>
    <t>SAO 32219</t>
  </si>
  <si>
    <t>HR 7703</t>
  </si>
  <si>
    <t>HR 7555</t>
  </si>
  <si>
    <t>SAO 69101</t>
  </si>
  <si>
    <t>SAO 125841</t>
  </si>
  <si>
    <t>SAO 106396</t>
  </si>
  <si>
    <t>HR 7831</t>
  </si>
  <si>
    <t>HR 7973</t>
  </si>
  <si>
    <t>HR 8096</t>
  </si>
  <si>
    <t>HR 7923</t>
  </si>
  <si>
    <t>SAO 50713</t>
  </si>
  <si>
    <t>SAO 33287</t>
  </si>
  <si>
    <t>SAO 71267</t>
  </si>
  <si>
    <t>HR 8081</t>
  </si>
  <si>
    <t>HR 8197</t>
  </si>
  <si>
    <t>SAO 19432</t>
  </si>
  <si>
    <t>SAO 71539</t>
  </si>
  <si>
    <t>SAO 50934</t>
  </si>
  <si>
    <t>HR 8228</t>
  </si>
  <si>
    <t>SAO 33683</t>
  </si>
  <si>
    <t>SAO 10284</t>
  </si>
  <si>
    <t>HR 8577</t>
  </si>
  <si>
    <t>SAO 34256</t>
  </si>
  <si>
    <t>HR 8632</t>
  </si>
  <si>
    <t>HR 8531</t>
  </si>
  <si>
    <t>SAO 34605</t>
  </si>
  <si>
    <t>HR 8841</t>
  </si>
  <si>
    <t>SAO 108242</t>
  </si>
  <si>
    <t>SAO 52713</t>
  </si>
  <si>
    <t>SAO 72575</t>
  </si>
  <si>
    <t>HD 217715</t>
  </si>
  <si>
    <t>SAO 128034</t>
  </si>
  <si>
    <t>SAO 146598</t>
  </si>
  <si>
    <t>HR 8874</t>
  </si>
  <si>
    <t>HR 8829</t>
  </si>
  <si>
    <t>HR 8922</t>
  </si>
  <si>
    <t>SAO 53355</t>
  </si>
  <si>
    <t>HR 8923</t>
  </si>
  <si>
    <t>SAO 128427</t>
  </si>
  <si>
    <t>HR 9055</t>
  </si>
  <si>
    <t>SAO 35761</t>
  </si>
  <si>
    <t>HR 9067</t>
  </si>
  <si>
    <t>SAO 208340</t>
  </si>
  <si>
    <t>HR 29</t>
  </si>
  <si>
    <t>SAO 147237</t>
  </si>
  <si>
    <t>HR 131</t>
  </si>
  <si>
    <t>SAO 147205</t>
  </si>
  <si>
    <t>SAO 21537</t>
  </si>
  <si>
    <t>SAO 91909</t>
  </si>
  <si>
    <t>SAO 54147</t>
  </si>
  <si>
    <t>HR 213</t>
  </si>
  <si>
    <t>HD 5258</t>
  </si>
  <si>
    <t>HR 176</t>
  </si>
  <si>
    <t>SAO 11444</t>
  </si>
  <si>
    <t>HR 307</t>
  </si>
  <si>
    <t>HR 420</t>
  </si>
  <si>
    <t>HR 289</t>
  </si>
  <si>
    <t>HD 11131</t>
  </si>
  <si>
    <t>HD 15228</t>
  </si>
  <si>
    <t>HR 646</t>
  </si>
  <si>
    <t>SAO 129959</t>
  </si>
  <si>
    <t>HR 739</t>
  </si>
  <si>
    <t>HR 736</t>
  </si>
  <si>
    <t>SAO 148549</t>
  </si>
  <si>
    <t>SAO 130254</t>
  </si>
  <si>
    <t>SAO 93195</t>
  </si>
  <si>
    <t>HR 926</t>
  </si>
  <si>
    <t>SAO 56036</t>
  </si>
  <si>
    <t>SAO 38609</t>
  </si>
  <si>
    <t>HD 23948</t>
  </si>
  <si>
    <t>HR 1205</t>
  </si>
  <si>
    <t>HR 1265</t>
  </si>
  <si>
    <t>SAO 76105</t>
  </si>
  <si>
    <t>SAO 56709</t>
  </si>
  <si>
    <t>HR 1270</t>
  </si>
  <si>
    <t>SAO 76565</t>
  </si>
  <si>
    <t>HR 1585</t>
  </si>
  <si>
    <t>HR 1475</t>
  </si>
  <si>
    <t>HR 1641</t>
  </si>
  <si>
    <t>HR 1568</t>
  </si>
  <si>
    <t>HR 1882</t>
  </si>
  <si>
    <t>SAO 77675</t>
  </si>
  <si>
    <t>HR 2062</t>
  </si>
  <si>
    <t>HR 1995</t>
  </si>
  <si>
    <t>SAO 113186</t>
  </si>
  <si>
    <t>HR 2105</t>
  </si>
  <si>
    <t>SAO 151052</t>
  </si>
  <si>
    <t>HR 2104</t>
  </si>
  <si>
    <t>SAO 78045</t>
  </si>
  <si>
    <t>HR 2152</t>
  </si>
  <si>
    <t>HR 2305</t>
  </si>
  <si>
    <t>HR 2185</t>
  </si>
  <si>
    <t>SAO 59631</t>
  </si>
  <si>
    <t>SAO 134031</t>
  </si>
  <si>
    <t>HR 2804</t>
  </si>
  <si>
    <t>HR 2684</t>
  </si>
  <si>
    <t>HR 2706</t>
  </si>
  <si>
    <t>HR 2643</t>
  </si>
  <si>
    <t>SAO 172676</t>
  </si>
  <si>
    <t>SAO 173244</t>
  </si>
  <si>
    <t>HR 2713</t>
  </si>
  <si>
    <t>SAO 14183</t>
  </si>
  <si>
    <t>SAO 1254</t>
  </si>
  <si>
    <t>HR2692</t>
  </si>
  <si>
    <t>SAO 152941</t>
  </si>
  <si>
    <t>HR 3030</t>
  </si>
  <si>
    <t>SAO 115756</t>
  </si>
  <si>
    <t>HR 2930</t>
  </si>
  <si>
    <t>HR 3051</t>
  </si>
  <si>
    <t>HR 3050</t>
  </si>
  <si>
    <t>HR 3127</t>
  </si>
  <si>
    <t>HR 3403</t>
  </si>
  <si>
    <t>HR 3231</t>
  </si>
  <si>
    <t>SAO 154373</t>
  </si>
  <si>
    <t>HR3540</t>
  </si>
  <si>
    <t>SAO 98087</t>
  </si>
  <si>
    <t>HR3510</t>
  </si>
  <si>
    <t>HR3531</t>
  </si>
  <si>
    <t>SAO 61288</t>
  </si>
  <si>
    <t>HR 3800</t>
  </si>
  <si>
    <t>SAO 136840</t>
  </si>
  <si>
    <t>HR 3815</t>
  </si>
  <si>
    <t>HR 3627</t>
  </si>
  <si>
    <t>HR 3896</t>
  </si>
  <si>
    <t>HR 3926</t>
  </si>
  <si>
    <t>HR 4051</t>
  </si>
  <si>
    <t>HR 4132</t>
  </si>
  <si>
    <t>HR 4181</t>
  </si>
  <si>
    <t>HR 4256</t>
  </si>
  <si>
    <t>SAO 15269</t>
  </si>
  <si>
    <t>SAO 238483</t>
  </si>
  <si>
    <t>HR 4201</t>
  </si>
  <si>
    <t>SAO 15431</t>
  </si>
  <si>
    <t>HR 4240</t>
  </si>
  <si>
    <t>SAO 62418</t>
  </si>
  <si>
    <t>HR 4280</t>
  </si>
  <si>
    <t>HR 4384</t>
  </si>
  <si>
    <t>HR 4515</t>
  </si>
  <si>
    <t>HR 4539</t>
  </si>
  <si>
    <t>SAO 62729</t>
  </si>
  <si>
    <t>SAO 99816</t>
  </si>
  <si>
    <t>HR 4805</t>
  </si>
  <si>
    <t>HR 4959</t>
  </si>
  <si>
    <t>HR 4945</t>
  </si>
  <si>
    <t>HR 4962</t>
  </si>
  <si>
    <t>SAO 82708</t>
  </si>
  <si>
    <t>SAO 139264</t>
  </si>
  <si>
    <t>SAO 119789</t>
  </si>
  <si>
    <t>HR 5025</t>
  </si>
  <si>
    <t>SAO 119962</t>
  </si>
  <si>
    <t>SAO 158416</t>
  </si>
  <si>
    <t>HR 5307</t>
  </si>
  <si>
    <t>HR 5243</t>
  </si>
  <si>
    <t>HD 125408</t>
  </si>
  <si>
    <t>SAO 83535</t>
  </si>
  <si>
    <t>HR 5714</t>
  </si>
  <si>
    <t>SAO 101631</t>
  </si>
  <si>
    <t>SAO 45723</t>
  </si>
  <si>
    <t>HR 6024</t>
  </si>
  <si>
    <t>SAO 29975</t>
  </si>
  <si>
    <t>HR 6043</t>
  </si>
  <si>
    <t>SAO 141066</t>
  </si>
  <si>
    <t>SAO 184630</t>
  </si>
  <si>
    <t>HR 6183</t>
  </si>
  <si>
    <t>SAO 17200</t>
  </si>
  <si>
    <t>SAO 17312</t>
  </si>
  <si>
    <t>HR 6509</t>
  </si>
  <si>
    <t>HR 6577</t>
  </si>
  <si>
    <t>SAO 208881</t>
  </si>
  <si>
    <t>SAO 141979</t>
  </si>
  <si>
    <t>SAO 122787</t>
  </si>
  <si>
    <t>HD 164615</t>
  </si>
  <si>
    <t>SAO 85575</t>
  </si>
  <si>
    <t>SAO 122949</t>
  </si>
  <si>
    <t>HD 166976</t>
  </si>
  <si>
    <t>HR 6775</t>
  </si>
  <si>
    <t>HR 6807</t>
  </si>
  <si>
    <t>HR 6801</t>
  </si>
  <si>
    <t>HR 6880</t>
  </si>
  <si>
    <t>SAO 123399</t>
  </si>
  <si>
    <t>SAO 142372</t>
  </si>
  <si>
    <t>SAO 86106</t>
  </si>
  <si>
    <t>HR 7019</t>
  </si>
  <si>
    <t>SAO 142557</t>
  </si>
  <si>
    <t>HR 7038</t>
  </si>
  <si>
    <t>SAO 47922</t>
  </si>
  <si>
    <t>SAO 142598</t>
  </si>
  <si>
    <t>SAO 31032</t>
  </si>
  <si>
    <t>SAO 123928</t>
  </si>
  <si>
    <t>SAO 31737</t>
  </si>
  <si>
    <t>SAO 68909</t>
  </si>
  <si>
    <t>SAO 104990</t>
  </si>
  <si>
    <t>SAO 68637</t>
  </si>
  <si>
    <t>SAO 32116</t>
  </si>
  <si>
    <t>SAO 69803</t>
  </si>
  <si>
    <t>HR 7729</t>
  </si>
  <si>
    <t>HR 7568</t>
  </si>
  <si>
    <t>SAO 126059</t>
  </si>
  <si>
    <t>SAO 106253</t>
  </si>
  <si>
    <t>HR 7873</t>
  </si>
  <si>
    <t>HR 8057</t>
  </si>
  <si>
    <t>HR 7994</t>
  </si>
  <si>
    <t>HR 7914</t>
  </si>
  <si>
    <t>SAO 50121</t>
  </si>
  <si>
    <t>SAO 33303</t>
  </si>
  <si>
    <t>SAO 71280</t>
  </si>
  <si>
    <t>HR 8061</t>
  </si>
  <si>
    <t>HR 8312</t>
  </si>
  <si>
    <t>SAO 19646</t>
  </si>
  <si>
    <t>SAO 71514</t>
  </si>
  <si>
    <t>SAO 50824</t>
  </si>
  <si>
    <t>HR 8208</t>
  </si>
  <si>
    <t>SAO 33657</t>
  </si>
  <si>
    <t>NONE</t>
  </si>
  <si>
    <t>SAO 19986</t>
  </si>
  <si>
    <t>HR 8471</t>
  </si>
  <si>
    <t>SAO 34338</t>
  </si>
  <si>
    <t>HR 8656</t>
  </si>
  <si>
    <t>HR 8620</t>
  </si>
  <si>
    <t>SAO 34602</t>
  </si>
  <si>
    <t>HR 8610</t>
  </si>
  <si>
    <t>SAO 108400</t>
  </si>
  <si>
    <t>SAO 52707</t>
  </si>
  <si>
    <t>SAO 72883</t>
  </si>
  <si>
    <t>HD 218261</t>
  </si>
  <si>
    <t>SAO 128043</t>
  </si>
  <si>
    <t>SAO 146652</t>
  </si>
  <si>
    <t>HR 8330</t>
  </si>
  <si>
    <t>HR 8843</t>
  </si>
  <si>
    <t>HR 8839</t>
  </si>
  <si>
    <t>SAO 53270</t>
  </si>
  <si>
    <t>HR 8893</t>
  </si>
  <si>
    <t>SAO 128310</t>
  </si>
  <si>
    <t>HR 9035</t>
  </si>
  <si>
    <t>SAO 35763</t>
  </si>
  <si>
    <t>HR 9041</t>
  </si>
  <si>
    <t>SAO 208406</t>
  </si>
  <si>
    <t>Epsilon-B</t>
  </si>
  <si>
    <t>Epsilon-V</t>
  </si>
  <si>
    <t>B PER</t>
  </si>
  <si>
    <t>000-BBG-774</t>
  </si>
  <si>
    <t>ALF COM</t>
  </si>
  <si>
    <t>000-BLK-312</t>
  </si>
  <si>
    <t>1305+18</t>
  </si>
  <si>
    <t>B-V Variable</t>
  </si>
  <si>
    <t>Spectrum</t>
  </si>
  <si>
    <t>M3III</t>
  </si>
  <si>
    <t>M2III</t>
  </si>
  <si>
    <t>M5/M6Ib/II</t>
  </si>
  <si>
    <t>M5III</t>
  </si>
  <si>
    <t>M2III:e</t>
  </si>
  <si>
    <t>M4IIIa</t>
  </si>
  <si>
    <t>M4III</t>
  </si>
  <si>
    <t>B0IVpe</t>
  </si>
  <si>
    <t>B2IVe</t>
  </si>
  <si>
    <t>M2III:</t>
  </si>
  <si>
    <t>M0III</t>
  </si>
  <si>
    <t>M7</t>
  </si>
  <si>
    <t>F7:Ib-IIv</t>
  </si>
  <si>
    <t>M6III</t>
  </si>
  <si>
    <t>M4II</t>
  </si>
  <si>
    <t>B8V</t>
  </si>
  <si>
    <t>M1III</t>
  </si>
  <si>
    <t>K5</t>
  </si>
  <si>
    <t>A2V</t>
  </si>
  <si>
    <t>M4</t>
  </si>
  <si>
    <t>M3</t>
  </si>
  <si>
    <t>A8Ia-F2epIa</t>
  </si>
  <si>
    <t>K4Ib-II+</t>
  </si>
  <si>
    <t>F0V</t>
  </si>
  <si>
    <t>M2Iab:</t>
  </si>
  <si>
    <t>M3II</t>
  </si>
  <si>
    <t>Apsh</t>
  </si>
  <si>
    <t>M1III:</t>
  </si>
  <si>
    <t>K4III</t>
  </si>
  <si>
    <t>B3IIIe</t>
  </si>
  <si>
    <t>B2IV-Ve</t>
  </si>
  <si>
    <t>K0Ibpv</t>
  </si>
  <si>
    <t>M3II-III</t>
  </si>
  <si>
    <t>K0IIIb</t>
  </si>
  <si>
    <t>K5II/III</t>
  </si>
  <si>
    <t>G8III</t>
  </si>
  <si>
    <t>G5III</t>
  </si>
  <si>
    <t>K1III</t>
  </si>
  <si>
    <t>M4IIIv</t>
  </si>
  <si>
    <t>M6IIIase</t>
  </si>
  <si>
    <t>G8II-III</t>
  </si>
  <si>
    <t>F0IV</t>
  </si>
  <si>
    <t>K5III</t>
  </si>
  <si>
    <t>M0IIIv</t>
  </si>
  <si>
    <t>K2III</t>
  </si>
  <si>
    <t>M3II/III</t>
  </si>
  <si>
    <t>M3IIIb</t>
  </si>
  <si>
    <t>M1IIIb</t>
  </si>
  <si>
    <t>M5III:</t>
  </si>
  <si>
    <t>F5V+F5V</t>
  </si>
  <si>
    <t>M7III</t>
  </si>
  <si>
    <t>MIII</t>
  </si>
  <si>
    <t>M5II-III</t>
  </si>
  <si>
    <t>M6s</t>
  </si>
  <si>
    <t>M2</t>
  </si>
  <si>
    <t>F5Vn</t>
  </si>
  <si>
    <t>F2Ibe</t>
  </si>
  <si>
    <t>B2Ve</t>
  </si>
  <si>
    <t>F2IV-V</t>
  </si>
  <si>
    <t>F4Ibpv</t>
  </si>
  <si>
    <t>M4Iab:</t>
  </si>
  <si>
    <t>F2IIIp</t>
  </si>
  <si>
    <t>M2/M3III</t>
  </si>
  <si>
    <t>G9III</t>
  </si>
  <si>
    <t>A5</t>
  </si>
  <si>
    <t>M7IIIv</t>
  </si>
  <si>
    <t>A0</t>
  </si>
  <si>
    <t>K0IV</t>
  </si>
  <si>
    <t>K5Iab:</t>
  </si>
  <si>
    <t>B2pe</t>
  </si>
  <si>
    <t>M5Iab:</t>
  </si>
  <si>
    <t>K0III</t>
  </si>
  <si>
    <t>B2IIIev</t>
  </si>
  <si>
    <t>M4:IIIv</t>
  </si>
  <si>
    <t>M4III:</t>
  </si>
  <si>
    <t>M2Ia</t>
  </si>
  <si>
    <t>F5Iab:</t>
  </si>
  <si>
    <t>B3IVpe</t>
  </si>
  <si>
    <t>G0Iab:</t>
  </si>
  <si>
    <t>Bpe</t>
  </si>
  <si>
    <t>A5V</t>
  </si>
  <si>
    <t>G2Ia0e</t>
  </si>
  <si>
    <t>SAO 24412</t>
  </si>
  <si>
    <t>SAO 24512</t>
  </si>
  <si>
    <t>SAO 82692</t>
  </si>
  <si>
    <t>Add transformation correction</t>
  </si>
  <si>
    <t>Standard magnitude</t>
  </si>
  <si>
    <t>Add standard magnitude of the comparison</t>
  </si>
  <si>
    <t>B</t>
  </si>
  <si>
    <t>V</t>
  </si>
  <si>
    <t>mean var-comp</t>
  </si>
  <si>
    <t>AAVSO initial</t>
  </si>
  <si>
    <t>Heliocentric JD</t>
  </si>
  <si>
    <t>V Variable</t>
  </si>
  <si>
    <t>ALF CAS</t>
  </si>
  <si>
    <t>000-BBB-937</t>
  </si>
  <si>
    <t>0034+55</t>
  </si>
  <si>
    <t>K0IIICN+1</t>
  </si>
  <si>
    <t>HD 5395</t>
  </si>
  <si>
    <t>HD 9927</t>
  </si>
  <si>
    <t>RU CAS</t>
  </si>
  <si>
    <t>000-BBC-486</t>
  </si>
  <si>
    <t>0105+64</t>
  </si>
  <si>
    <t>B9IV</t>
  </si>
  <si>
    <t>HD 6960</t>
  </si>
  <si>
    <t>HD 5015</t>
  </si>
  <si>
    <t>1 GEM</t>
  </si>
  <si>
    <t>000-BBK-649</t>
  </si>
  <si>
    <t>0558+23</t>
  </si>
  <si>
    <t>G5III+F6IV</t>
  </si>
  <si>
    <t>HD 38751</t>
  </si>
  <si>
    <t>HD 43039</t>
  </si>
  <si>
    <t>MIU GEM</t>
  </si>
  <si>
    <t>SY UMA</t>
  </si>
  <si>
    <t>000-BCX-402</t>
  </si>
  <si>
    <t>0949+50</t>
  </si>
  <si>
    <t>A3III</t>
  </si>
  <si>
    <t>HD 82328</t>
  </si>
  <si>
    <t>HD 82621</t>
  </si>
  <si>
    <t>Instr. Magnitude comp</t>
  </si>
  <si>
    <t>Instr. Magnitude var</t>
  </si>
  <si>
    <t>Instr. Magnitude check</t>
  </si>
  <si>
    <t>#TYPE=EXTENDED</t>
  </si>
  <si>
    <t>#DELIM=,</t>
  </si>
  <si>
    <t>#DATE=JD</t>
  </si>
  <si>
    <t>#OBSTYPE=PEP</t>
  </si>
  <si>
    <t>YES</t>
  </si>
  <si>
    <t>STD</t>
  </si>
  <si>
    <t>na</t>
  </si>
  <si>
    <t>In the sheet 'B-band Data Entry', you only fill in the measurements (time and counts).</t>
  </si>
  <si>
    <t>For the whole excel-file: only fill in the data in the yellow fields. All other fields are looked up or calculated.</t>
  </si>
  <si>
    <t>Calculation HJD</t>
  </si>
  <si>
    <t>Take care, in the six lines before the observations, there can be an excess of comma's. Remove those before submitting the observations. The line '#DELIM=' should contain exactly one comma.</t>
  </si>
  <si>
    <t>The sheet 'AAVSO.csv' collects the data in the extended format of the AAVSO. You can export this sheet as a .csv-file, open it to Word (by dragging it to Word on an iMac) and save it as an MS-DOS .txt file. This last file can be uploaded as a file with observations to www.aavso.org/webobs</t>
  </si>
  <si>
    <t>Telescope</t>
  </si>
  <si>
    <t>Sensor</t>
  </si>
  <si>
    <t>Minus first order extinction correction</t>
  </si>
  <si>
    <t>Second-order extinction correction B</t>
  </si>
  <si>
    <t>First order extinction correction B</t>
  </si>
  <si>
    <t>First order extinction correction V</t>
  </si>
  <si>
    <t>kapV = k'V</t>
  </si>
  <si>
    <t>kapB = k'B</t>
  </si>
  <si>
    <t>kkapB = k"B</t>
  </si>
  <si>
    <t>Time</t>
  </si>
  <si>
    <t>magnitude</t>
  </si>
  <si>
    <t>Don't touch the sheet 'Calculations'. This sheet calculates the Julian Date, the Heliocentric Julian Date (if you do PEP-photometry on eclipsing binaries), the airmass and the V- and B-magnitudes.</t>
  </si>
  <si>
    <t>V-band Variable</t>
  </si>
  <si>
    <t>B-band Variable</t>
  </si>
  <si>
    <t>V-band Check</t>
  </si>
  <si>
    <t>B-band Check</t>
  </si>
  <si>
    <t>Time corrected airmass comp</t>
  </si>
  <si>
    <t>In countries where they use a decimal comma instead of a decimal point, a semicolon instead of a comma will be used as a separator in the  .csv-file. Then the line '#DELIM=' should then contain a semicolon instead of a comma. When you open the .csv-file in Word, Find &amp; Replace the decimal comma's for decimal points before saving it to a MS-DOS .txt-file.</t>
  </si>
  <si>
    <t>°</t>
  </si>
  <si>
    <t>"</t>
  </si>
  <si>
    <t>N/S or E/W</t>
  </si>
  <si>
    <t>’</t>
  </si>
  <si>
    <r>
      <t xml:space="preserve">eV = </t>
    </r>
    <r>
      <rPr>
        <b/>
        <sz val="11"/>
        <color indexed="8"/>
        <rFont val="Symbol"/>
        <family val="0"/>
      </rPr>
      <t>e</t>
    </r>
    <r>
      <rPr>
        <b/>
        <sz val="11"/>
        <color indexed="8"/>
        <rFont val="Arial"/>
        <family val="2"/>
      </rPr>
      <t>V</t>
    </r>
  </si>
  <si>
    <r>
      <t xml:space="preserve">eB = </t>
    </r>
    <r>
      <rPr>
        <b/>
        <sz val="11"/>
        <color indexed="8"/>
        <rFont val="Symbol"/>
        <family val="0"/>
      </rPr>
      <t>e</t>
    </r>
    <r>
      <rPr>
        <b/>
        <sz val="11"/>
        <color indexed="8"/>
        <rFont val="Arial"/>
        <family val="2"/>
      </rPr>
      <t>B</t>
    </r>
  </si>
  <si>
    <t>UT date</t>
  </si>
  <si>
    <t>JD at 0 UT</t>
  </si>
  <si>
    <t>T</t>
  </si>
  <si>
    <t>UT</t>
  </si>
  <si>
    <t>Julian Date</t>
  </si>
  <si>
    <t>SAO 35236</t>
  </si>
  <si>
    <t>SAO 34858</t>
  </si>
  <si>
    <t>UT Date</t>
  </si>
  <si>
    <t>RR ARI</t>
  </si>
  <si>
    <t>000-BCT-813</t>
  </si>
  <si>
    <t>0150+23</t>
  </si>
  <si>
    <t>NSV 16300</t>
  </si>
  <si>
    <t>000-BCY-054</t>
  </si>
  <si>
    <t>0518-00</t>
  </si>
  <si>
    <t>NIU AUR</t>
  </si>
  <si>
    <t>000-BBK-288</t>
  </si>
  <si>
    <t>NSV 2877</t>
  </si>
  <si>
    <t>000-BBK-937</t>
  </si>
  <si>
    <t>NSV 6687</t>
  </si>
  <si>
    <t>000-BBV-426</t>
  </si>
  <si>
    <t>1427+76</t>
  </si>
  <si>
    <t>NSV 24912</t>
  </si>
  <si>
    <t>000-BCJ-270</t>
  </si>
  <si>
    <t>51 PEG</t>
  </si>
  <si>
    <t>000-BDC-616</t>
  </si>
  <si>
    <t>2252+20</t>
  </si>
  <si>
    <t>XZ PSC</t>
  </si>
  <si>
    <t>000-BCS-081</t>
  </si>
  <si>
    <t>2349-00</t>
  </si>
  <si>
    <t>II PEG</t>
  </si>
  <si>
    <t>000-BCS-087</t>
  </si>
  <si>
    <t>2350+28</t>
  </si>
  <si>
    <t>NSV 26170</t>
  </si>
  <si>
    <t>000-BDC-705</t>
  </si>
  <si>
    <t>2351+22</t>
  </si>
  <si>
    <t>F3II,,,</t>
  </si>
  <si>
    <t>HD 13174</t>
  </si>
  <si>
    <t>A9V,,,</t>
  </si>
  <si>
    <t>M2,5II</t>
  </si>
  <si>
    <t>O9,5pe</t>
  </si>
  <si>
    <t>M0,5III</t>
  </si>
  <si>
    <t>B2V</t>
  </si>
  <si>
    <t>HD 34658</t>
  </si>
  <si>
    <t>O9,7IIe</t>
  </si>
  <si>
    <t>G9,5III</t>
  </si>
  <si>
    <t>HD 38656</t>
  </si>
  <si>
    <t>G8,5IIIb</t>
  </si>
  <si>
    <t>HD 40588</t>
  </si>
  <si>
    <t>C,,,</t>
  </si>
  <si>
    <t>Ce+,,,</t>
  </si>
  <si>
    <t>CII,,,</t>
  </si>
  <si>
    <t>LBv,,,</t>
  </si>
  <si>
    <t>M5,5III</t>
  </si>
  <si>
    <t>M,,,</t>
  </si>
  <si>
    <t>HD 136726</t>
  </si>
  <si>
    <t>M4,5III</t>
  </si>
  <si>
    <t>M1,5Iab-b</t>
  </si>
  <si>
    <t>M2,5III</t>
  </si>
  <si>
    <t>O5,5-O6,5Iaf</t>
  </si>
  <si>
    <t>K1,5IIIb</t>
  </si>
  <si>
    <t>G8III-IV+,,,</t>
  </si>
  <si>
    <t>G0III+,,,</t>
  </si>
  <si>
    <t>B2,5Ve</t>
  </si>
  <si>
    <t>S,,,</t>
  </si>
  <si>
    <t>F8V</t>
  </si>
  <si>
    <t>HD 185018</t>
  </si>
  <si>
    <t>B1,5Vnne</t>
  </si>
  <si>
    <t>M3II-III,,,</t>
  </si>
  <si>
    <t>K2,,,</t>
  </si>
  <si>
    <t>M0II+,,,</t>
  </si>
  <si>
    <t>K1,5II-IIIe</t>
  </si>
  <si>
    <t>G2,5IVa</t>
  </si>
  <si>
    <t>HD 218235</t>
  </si>
  <si>
    <t>B6IIIpe+,,,</t>
  </si>
  <si>
    <t>K1IV-V+,,,</t>
  </si>
  <si>
    <t>SAO 128393</t>
  </si>
  <si>
    <t>K0V,,,</t>
  </si>
  <si>
    <t>SAO 91503</t>
  </si>
  <si>
    <t>HD 13363</t>
  </si>
  <si>
    <t>HD 36134</t>
  </si>
  <si>
    <t>HD 41357</t>
  </si>
  <si>
    <t>HD 42471</t>
  </si>
  <si>
    <t>HD 142105</t>
  </si>
  <si>
    <t>HD 188310</t>
  </si>
  <si>
    <t>HD 215510</t>
  </si>
  <si>
    <t>SAO 91568</t>
  </si>
  <si>
    <t>∆(B-V)</t>
  </si>
  <si>
    <t xml:space="preserve">In the sheet 'V-band Data Entry' you fill in the UT date (so the date it would be in UT) of the START of your observations, the star and the measurements (time and counts). If you pass UT midnight, change the UT Date accordingly (in Cells C10 until C27 of the Data Entry sheets) and continue with zero hours (0:00). </t>
  </si>
  <si>
    <t>Estimated? Y/N</t>
  </si>
  <si>
    <t>Minus second order extinction correction</t>
  </si>
  <si>
    <t>Average</t>
  </si>
  <si>
    <r>
      <rPr>
        <b/>
        <sz val="11"/>
        <rFont val="Symbol"/>
        <family val="0"/>
      </rPr>
      <t>D</t>
    </r>
    <r>
      <rPr>
        <b/>
        <sz val="11"/>
        <rFont val="Arial"/>
        <family val="2"/>
      </rPr>
      <t>(v(variable) - v(comp))</t>
    </r>
  </si>
  <si>
    <t>v(variable)</t>
  </si>
  <si>
    <t>v(comp)</t>
  </si>
  <si>
    <t>b(variable)</t>
  </si>
  <si>
    <t>b(comp)</t>
  </si>
  <si>
    <r>
      <t>D</t>
    </r>
    <r>
      <rPr>
        <b/>
        <sz val="11"/>
        <rFont val="Arial"/>
        <family val="2"/>
      </rPr>
      <t>(b(variable) - b(comp))</t>
    </r>
  </si>
  <si>
    <t>differential v-magnitude check = v (check) - v (comp)</t>
  </si>
  <si>
    <t>differential b-magnitude check = b (cherck) - b (comp)</t>
  </si>
  <si>
    <r>
      <rPr>
        <sz val="11"/>
        <rFont val="Symbol"/>
        <family val="0"/>
      </rPr>
      <t>D</t>
    </r>
    <r>
      <rPr>
        <sz val="11"/>
        <rFont val="Arial"/>
        <family val="2"/>
      </rPr>
      <t>(b-v) = (b-v) variable - (b-v) comp</t>
    </r>
  </si>
  <si>
    <t>∆v-magnitude = v (variable) - v (comp)</t>
  </si>
  <si>
    <t>∆b-magnitude = b (variable) - b (comp)</t>
  </si>
  <si>
    <r>
      <t xml:space="preserve">∆(B-V) = </t>
    </r>
    <r>
      <rPr>
        <sz val="11"/>
        <rFont val="Symbol"/>
        <family val="0"/>
      </rPr>
      <t>m*D</t>
    </r>
    <r>
      <rPr>
        <sz val="11"/>
        <rFont val="Arial"/>
        <family val="2"/>
      </rPr>
      <t>(b-v)0</t>
    </r>
  </si>
  <si>
    <t>∆v0</t>
  </si>
  <si>
    <t xml:space="preserve">∆b0 </t>
  </si>
  <si>
    <r>
      <rPr>
        <sz val="11"/>
        <rFont val="Symbol"/>
        <family val="0"/>
      </rPr>
      <t>D</t>
    </r>
    <r>
      <rPr>
        <sz val="11"/>
        <rFont val="Arial"/>
        <family val="2"/>
      </rPr>
      <t>(b-v)0</t>
    </r>
  </si>
  <si>
    <t>PEP</t>
  </si>
  <si>
    <t>Y</t>
  </si>
  <si>
    <t>In the sheet 'Data Observer' you fill in the 'fixed' data of the observer, including the correction factors. Don't forget to update the correction factors when you determine them anew. I you don't determine the first order extinction coefficients yourself, you can use the estimated coefficients already filled in. If you determine the first order extinction coefficients for every night yourself, please change the values to your own values and change the checkbox 'Estimated? Y/N' to 'N'.</t>
  </si>
  <si>
    <t>The gain and the integration time is standard set to 10. If the gain is different, you can change it. The spreadsheet takes the changed values into account when calculating the magnitude of the variable.</t>
  </si>
  <si>
    <t>H</t>
  </si>
  <si>
    <t>D</t>
  </si>
  <si>
    <t>D at 0 UT</t>
  </si>
  <si>
    <t>GMST</t>
  </si>
  <si>
    <t>GMST (0-24)</t>
  </si>
  <si>
    <t>W</t>
  </si>
  <si>
    <t>L</t>
  </si>
  <si>
    <t>e</t>
  </si>
  <si>
    <t>Dy</t>
  </si>
  <si>
    <t>GAST</t>
  </si>
  <si>
    <t>#SOFTWARE=PEP_BV_v1.5.xls</t>
  </si>
  <si>
    <t>Comment</t>
  </si>
  <si>
    <t>Source: http://129.79.46.40/~foxd/cdrom/musings/formulas/formulas.htm, http://aa.usno.navy.mil/faq/docs/GAST.php</t>
  </si>
  <si>
    <t>The sheet 'starparm_2019Jun05' contains the most recent catalogue of AAVSO PEP-stars. You can add your own stars to this list (unlock the worksheet first).</t>
  </si>
  <si>
    <t>Erwin van Ballegoij (aavso.id.bve@home.nl), June 28, 2019</t>
  </si>
  <si>
    <t>HD 5848</t>
  </si>
  <si>
    <t>HD 26659</t>
  </si>
  <si>
    <t>NSV 13518</t>
  </si>
  <si>
    <t>000-BCN-174</t>
  </si>
  <si>
    <t>2101+43</t>
  </si>
  <si>
    <t>K4,5Ib-II</t>
  </si>
  <si>
    <t>HD 204771</t>
  </si>
  <si>
    <t>HD 199870</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</si>
</sst>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000"/>
    <numFmt numFmtId="180" formatCode="0.000"/>
    <numFmt numFmtId="181" formatCode="#.0000"/>
    <numFmt numFmtId="182" formatCode="0.000000000000"/>
    <numFmt numFmtId="183" formatCode="0.000000"/>
    <numFmt numFmtId="184" formatCode="0.0000000000"/>
    <numFmt numFmtId="185" formatCode="h:mm"/>
    <numFmt numFmtId="186" formatCode="0.00000"/>
    <numFmt numFmtId="187" formatCode="0.000000000"/>
    <numFmt numFmtId="188" formatCode="0.0000"/>
    <numFmt numFmtId="189" formatCode="0.0000000"/>
    <numFmt numFmtId="190" formatCode="dd/mm/yyyy"/>
    <numFmt numFmtId="191" formatCode="[$-413]dddd\ d\ mmmm\ yyyy"/>
    <numFmt numFmtId="192" formatCode="0.0"/>
    <numFmt numFmtId="193" formatCode="m/d/yyyy;@"/>
    <numFmt numFmtId="194" formatCode="h:mm;@"/>
    <numFmt numFmtId="195" formatCode="[$-F400]h:mm:ss\ AM/PM"/>
  </numFmts>
  <fonts count="61">
    <font>
      <sz val="10"/>
      <name val="Arial"/>
      <family val="2"/>
    </font>
    <font>
      <sz val="12"/>
      <name val="Arial"/>
      <family val="2"/>
    </font>
    <font>
      <u val="single"/>
      <sz val="10"/>
      <color indexed="12"/>
      <name val="Arial"/>
      <family val="2"/>
    </font>
    <font>
      <u val="single"/>
      <sz val="10"/>
      <color indexed="36"/>
      <name val="Arial"/>
      <family val="2"/>
    </font>
    <font>
      <b/>
      <sz val="11"/>
      <name val="Arial"/>
      <family val="2"/>
    </font>
    <font>
      <sz val="11"/>
      <name val="Arial"/>
      <family val="2"/>
    </font>
    <font>
      <sz val="11"/>
      <color indexed="31"/>
      <name val="Arial"/>
      <family val="2"/>
    </font>
    <font>
      <sz val="11"/>
      <color indexed="8"/>
      <name val="Arial"/>
      <family val="2"/>
    </font>
    <font>
      <b/>
      <sz val="12"/>
      <name val="Arial"/>
      <family val="2"/>
    </font>
    <font>
      <sz val="12"/>
      <name val="Courier New"/>
      <family val="1"/>
    </font>
    <font>
      <sz val="11"/>
      <name val="Symbol"/>
      <family val="0"/>
    </font>
    <font>
      <sz val="12"/>
      <name val="Calibri"/>
      <family val="2"/>
    </font>
    <font>
      <b/>
      <sz val="11"/>
      <color indexed="8"/>
      <name val="Arial"/>
      <family val="2"/>
    </font>
    <font>
      <b/>
      <sz val="11"/>
      <color indexed="8"/>
      <name val="Symbol"/>
      <family val="0"/>
    </font>
    <font>
      <b/>
      <sz val="11"/>
      <name val="Symbol"/>
      <family val="0"/>
    </font>
    <font>
      <sz val="10"/>
      <name val="Calibri"/>
      <family val="2"/>
    </font>
    <font>
      <i/>
      <sz val="12"/>
      <name val="Arial"/>
      <family val="2"/>
    </font>
    <font>
      <sz val="12"/>
      <color indexed="8"/>
      <name val="Calibri"/>
      <family val="2"/>
    </font>
    <font>
      <sz val="12"/>
      <color indexed="9"/>
      <name val="Calibri"/>
      <family val="2"/>
    </font>
    <font>
      <b/>
      <sz val="12"/>
      <color indexed="52"/>
      <name val="Calibri"/>
      <family val="2"/>
    </font>
    <font>
      <b/>
      <sz val="12"/>
      <color indexed="9"/>
      <name val="Calibri"/>
      <family val="2"/>
    </font>
    <font>
      <sz val="12"/>
      <color indexed="52"/>
      <name val="Calibri"/>
      <family val="2"/>
    </font>
    <font>
      <sz val="12"/>
      <color indexed="17"/>
      <name val="Calibri"/>
      <family val="2"/>
    </font>
    <font>
      <sz val="12"/>
      <color indexed="62"/>
      <name val="Calibri"/>
      <family val="2"/>
    </font>
    <font>
      <b/>
      <sz val="15"/>
      <color indexed="62"/>
      <name val="Calibri"/>
      <family val="2"/>
    </font>
    <font>
      <b/>
      <sz val="13"/>
      <color indexed="62"/>
      <name val="Calibri"/>
      <family val="2"/>
    </font>
    <font>
      <b/>
      <sz val="11"/>
      <color indexed="62"/>
      <name val="Calibri"/>
      <family val="2"/>
    </font>
    <font>
      <sz val="12"/>
      <color indexed="60"/>
      <name val="Calibri"/>
      <family val="2"/>
    </font>
    <font>
      <sz val="12"/>
      <color indexed="14"/>
      <name val="Calibri"/>
      <family val="2"/>
    </font>
    <font>
      <b/>
      <sz val="18"/>
      <color indexed="62"/>
      <name val="Cambria"/>
      <family val="2"/>
    </font>
    <font>
      <b/>
      <sz val="12"/>
      <color indexed="8"/>
      <name val="Calibri"/>
      <family val="2"/>
    </font>
    <font>
      <b/>
      <sz val="12"/>
      <color indexed="63"/>
      <name val="Calibri"/>
      <family val="2"/>
    </font>
    <font>
      <i/>
      <sz val="12"/>
      <color indexed="23"/>
      <name val="Calibri"/>
      <family val="2"/>
    </font>
    <font>
      <sz val="12"/>
      <color indexed="10"/>
      <name val="Calibri"/>
      <family val="2"/>
    </font>
    <font>
      <sz val="12"/>
      <color indexed="8"/>
      <name val="Courier New"/>
      <family val="1"/>
    </font>
    <font>
      <sz val="14"/>
      <color indexed="8"/>
      <name val="Arial"/>
      <family val="2"/>
    </font>
    <font>
      <sz val="10"/>
      <color indexed="8"/>
      <name val="Arial"/>
      <family val="2"/>
    </font>
    <font>
      <sz val="12"/>
      <color theme="1"/>
      <name val="Calibri"/>
      <family val="2"/>
    </font>
    <font>
      <sz val="12"/>
      <color theme="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sz val="12"/>
      <color rgb="FF3F3F76"/>
      <name val="Calibri"/>
      <family val="2"/>
    </font>
    <font>
      <b/>
      <sz val="15"/>
      <color theme="3"/>
      <name val="Calibri"/>
      <family val="2"/>
    </font>
    <font>
      <b/>
      <sz val="13"/>
      <color theme="3"/>
      <name val="Calibri"/>
      <family val="2"/>
    </font>
    <font>
      <b/>
      <sz val="11"/>
      <color theme="3"/>
      <name val="Calibri"/>
      <family val="2"/>
    </font>
    <font>
      <sz val="12"/>
      <color rgb="FF9C6500"/>
      <name val="Calibri"/>
      <family val="2"/>
    </font>
    <font>
      <sz val="12"/>
      <color rgb="FF9C0006"/>
      <name val="Calibri"/>
      <family val="2"/>
    </font>
    <font>
      <b/>
      <sz val="18"/>
      <color theme="3"/>
      <name val="Cambria"/>
      <family val="2"/>
    </font>
    <font>
      <b/>
      <sz val="12"/>
      <color theme="1"/>
      <name val="Calibri"/>
      <family val="2"/>
    </font>
    <font>
      <b/>
      <sz val="12"/>
      <color rgb="FF3F3F3F"/>
      <name val="Calibri"/>
      <family val="2"/>
    </font>
    <font>
      <i/>
      <sz val="12"/>
      <color rgb="FF7F7F7F"/>
      <name val="Calibri"/>
      <family val="2"/>
    </font>
    <font>
      <sz val="12"/>
      <color rgb="FFFF0000"/>
      <name val="Calibri"/>
      <family val="2"/>
    </font>
    <font>
      <b/>
      <sz val="11"/>
      <color theme="1"/>
      <name val="Arial"/>
      <family val="2"/>
    </font>
    <font>
      <sz val="12"/>
      <color rgb="FF000000"/>
      <name val="Courier New"/>
      <family val="1"/>
    </font>
    <font>
      <sz val="14"/>
      <color theme="1"/>
      <name val="Arial"/>
      <family val="2"/>
    </font>
    <font>
      <sz val="11"/>
      <color theme="1"/>
      <name val="Arial"/>
      <family val="2"/>
    </font>
    <font>
      <sz val="10"/>
      <color theme="1"/>
      <name val="Arial"/>
      <family val="2"/>
    </font>
    <font>
      <b/>
      <sz val="12"/>
      <color rgb="FF000000"/>
      <name val="Calibri"/>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31"/>
        <bgColor indexed="64"/>
      </patternFill>
    </fill>
    <fill>
      <patternFill patternType="solid">
        <fgColor rgb="FFCCCCFF"/>
        <bgColor indexed="64"/>
      </patternFill>
    </fill>
    <fill>
      <patternFill patternType="solid">
        <fgColor indexed="43"/>
        <bgColor indexed="64"/>
      </patternFill>
    </fill>
    <fill>
      <patternFill patternType="solid">
        <fgColor rgb="FFCCCCFF"/>
        <bgColor indexed="64"/>
      </patternFill>
    </fill>
    <fill>
      <patternFill patternType="solid">
        <fgColor rgb="FFCCCCFF"/>
        <bgColor indexed="64"/>
      </patternFill>
    </fill>
    <fill>
      <patternFill patternType="solid">
        <fgColor rgb="FFCCCCFF"/>
        <bgColor indexed="64"/>
      </patternFill>
    </fill>
    <fill>
      <patternFill patternType="solid">
        <fgColor rgb="FF92D050"/>
        <bgColor indexed="64"/>
      </patternFill>
    </fill>
    <fill>
      <patternFill patternType="solid">
        <fgColor rgb="FF92D050"/>
        <bgColor indexed="64"/>
      </patternFill>
    </fill>
    <fill>
      <patternFill patternType="solid">
        <fgColor rgb="FF00B0F0"/>
        <bgColor indexed="64"/>
      </patternFill>
    </fill>
    <fill>
      <patternFill patternType="solid">
        <fgColor rgb="FF00B0F0"/>
        <bgColor indexed="64"/>
      </patternFill>
    </fill>
    <fill>
      <patternFill patternType="solid">
        <fgColor rgb="FFFFFF99"/>
        <bgColor indexed="64"/>
      </patternFill>
    </fill>
    <fill>
      <patternFill patternType="solid">
        <fgColor rgb="FF00B0F0"/>
        <bgColor indexed="64"/>
      </patternFill>
    </fill>
    <fill>
      <patternFill patternType="solid">
        <fgColor rgb="FFFFFF99"/>
        <bgColor indexed="64"/>
      </patternFill>
    </fill>
    <fill>
      <patternFill patternType="solid">
        <fgColor rgb="FFFFFF9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0" borderId="3" applyNumberFormat="0" applyFill="0" applyAlignment="0" applyProtection="0"/>
    <xf numFmtId="0" fontId="3" fillId="0" borderId="0" applyNumberFormat="0" applyFill="0" applyBorder="0" applyAlignment="0" applyProtection="0"/>
    <xf numFmtId="0" fontId="42" fillId="28" borderId="0" applyNumberFormat="0" applyBorder="0" applyAlignment="0" applyProtection="0"/>
    <xf numFmtId="0" fontId="2" fillId="0" borderId="0" applyNumberFormat="0" applyFill="0" applyBorder="0" applyAlignment="0" applyProtection="0"/>
    <xf numFmtId="0" fontId="43" fillId="29" borderId="1" applyNumberFormat="0" applyAlignment="0" applyProtection="0"/>
    <xf numFmtId="43" fontId="0" fillId="0" borderId="0" applyFill="0" applyBorder="0" applyAlignment="0" applyProtection="0"/>
    <xf numFmtId="41" fontId="0" fillId="0" borderId="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31" borderId="7" applyNumberFormat="0" applyFont="0" applyAlignment="0" applyProtection="0"/>
    <xf numFmtId="0" fontId="48" fillId="32" borderId="0" applyNumberFormat="0" applyBorder="0" applyAlignment="0" applyProtection="0"/>
    <xf numFmtId="9" fontId="0" fillId="0" borderId="0" applyFill="0" applyBorder="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6" borderId="9" applyNumberFormat="0" applyAlignment="0" applyProtection="0"/>
    <xf numFmtId="177" fontId="0" fillId="0" borderId="0" applyFill="0" applyBorder="0" applyAlignment="0" applyProtection="0"/>
    <xf numFmtId="176" fontId="0" fillId="0" borderId="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203">
    <xf numFmtId="0" fontId="0" fillId="0" borderId="0" xfId="0" applyAlignment="1">
      <alignment/>
    </xf>
    <xf numFmtId="0" fontId="4" fillId="33" borderId="0" xfId="0" applyFont="1" applyFill="1" applyAlignment="1">
      <alignment/>
    </xf>
    <xf numFmtId="0" fontId="5" fillId="33" borderId="0" xfId="0" applyFont="1" applyFill="1" applyAlignment="1">
      <alignment/>
    </xf>
    <xf numFmtId="178" fontId="5" fillId="33" borderId="0" xfId="0" applyNumberFormat="1" applyFont="1" applyFill="1" applyAlignment="1">
      <alignment/>
    </xf>
    <xf numFmtId="179" fontId="5" fillId="33" borderId="0" xfId="0" applyNumberFormat="1" applyFont="1" applyFill="1" applyAlignment="1">
      <alignment/>
    </xf>
    <xf numFmtId="180" fontId="5" fillId="0" borderId="0" xfId="0" applyNumberFormat="1" applyFont="1" applyFill="1" applyAlignment="1">
      <alignment/>
    </xf>
    <xf numFmtId="0" fontId="5" fillId="0" borderId="0" xfId="0" applyFont="1" applyFill="1" applyAlignment="1">
      <alignment/>
    </xf>
    <xf numFmtId="181" fontId="5" fillId="33" borderId="0" xfId="0" applyNumberFormat="1" applyFont="1" applyFill="1" applyAlignment="1">
      <alignment/>
    </xf>
    <xf numFmtId="186" fontId="5" fillId="33" borderId="0" xfId="0" applyNumberFormat="1" applyFont="1" applyFill="1" applyAlignment="1">
      <alignment/>
    </xf>
    <xf numFmtId="180" fontId="5" fillId="33" borderId="0" xfId="0" applyNumberFormat="1" applyFont="1" applyFill="1" applyAlignment="1">
      <alignment/>
    </xf>
    <xf numFmtId="179" fontId="6" fillId="33" borderId="0" xfId="0" applyNumberFormat="1" applyFont="1" applyFill="1" applyAlignment="1">
      <alignment/>
    </xf>
    <xf numFmtId="0" fontId="7" fillId="33" borderId="0" xfId="0" applyFont="1" applyFill="1" applyAlignment="1">
      <alignment/>
    </xf>
    <xf numFmtId="179" fontId="7" fillId="33" borderId="0" xfId="0" applyNumberFormat="1" applyFont="1" applyFill="1" applyAlignment="1">
      <alignment/>
    </xf>
    <xf numFmtId="0" fontId="4" fillId="33" borderId="10" xfId="0" applyFont="1" applyFill="1" applyBorder="1" applyAlignment="1">
      <alignment/>
    </xf>
    <xf numFmtId="180" fontId="4" fillId="0" borderId="0" xfId="0" applyNumberFormat="1" applyFont="1" applyFill="1" applyAlignment="1">
      <alignment/>
    </xf>
    <xf numFmtId="0" fontId="4" fillId="0" borderId="0" xfId="0" applyFont="1" applyFill="1" applyAlignment="1">
      <alignment/>
    </xf>
    <xf numFmtId="0" fontId="4" fillId="33" borderId="11" xfId="0" applyFont="1" applyFill="1" applyBorder="1" applyAlignment="1">
      <alignment/>
    </xf>
    <xf numFmtId="0" fontId="5" fillId="0" borderId="0" xfId="0" applyFont="1" applyAlignment="1">
      <alignment/>
    </xf>
    <xf numFmtId="0" fontId="4" fillId="33" borderId="12" xfId="0" applyFont="1" applyFill="1" applyBorder="1" applyAlignment="1">
      <alignment/>
    </xf>
    <xf numFmtId="188" fontId="5" fillId="33" borderId="0" xfId="0" applyNumberFormat="1" applyFont="1" applyFill="1" applyAlignment="1">
      <alignment/>
    </xf>
    <xf numFmtId="178" fontId="5" fillId="0" borderId="0" xfId="0" applyNumberFormat="1" applyFont="1" applyFill="1" applyAlignment="1">
      <alignment/>
    </xf>
    <xf numFmtId="179" fontId="5" fillId="0" borderId="0" xfId="0" applyNumberFormat="1" applyFont="1" applyFill="1" applyAlignment="1">
      <alignment/>
    </xf>
    <xf numFmtId="0" fontId="4" fillId="33" borderId="13" xfId="0" applyFont="1" applyFill="1" applyBorder="1" applyAlignment="1">
      <alignment horizontal="center"/>
    </xf>
    <xf numFmtId="0" fontId="4" fillId="33" borderId="10" xfId="0" applyFont="1" applyFill="1" applyBorder="1" applyAlignment="1">
      <alignment horizontal="center"/>
    </xf>
    <xf numFmtId="178" fontId="4" fillId="33" borderId="13" xfId="0" applyNumberFormat="1" applyFont="1" applyFill="1" applyBorder="1" applyAlignment="1">
      <alignment horizontal="center"/>
    </xf>
    <xf numFmtId="0" fontId="4" fillId="0" borderId="0" xfId="0" applyFont="1" applyAlignment="1">
      <alignment/>
    </xf>
    <xf numFmtId="184" fontId="4" fillId="0" borderId="0" xfId="0" applyNumberFormat="1" applyFont="1" applyAlignment="1">
      <alignment/>
    </xf>
    <xf numFmtId="183" fontId="4" fillId="0" borderId="0" xfId="0" applyNumberFormat="1" applyFont="1" applyAlignment="1">
      <alignment/>
    </xf>
    <xf numFmtId="180" fontId="4" fillId="0" borderId="0" xfId="0" applyNumberFormat="1" applyFont="1" applyAlignment="1">
      <alignment/>
    </xf>
    <xf numFmtId="0" fontId="5" fillId="0" borderId="0" xfId="0" applyNumberFormat="1" applyFont="1" applyAlignment="1">
      <alignment/>
    </xf>
    <xf numFmtId="184" fontId="5" fillId="0" borderId="0" xfId="0" applyNumberFormat="1" applyFont="1" applyAlignment="1">
      <alignment/>
    </xf>
    <xf numFmtId="183" fontId="5" fillId="0" borderId="0" xfId="0" applyNumberFormat="1" applyFont="1" applyAlignment="1">
      <alignment/>
    </xf>
    <xf numFmtId="180" fontId="5" fillId="0" borderId="0" xfId="0" applyNumberFormat="1" applyFont="1" applyAlignment="1">
      <alignment/>
    </xf>
    <xf numFmtId="0" fontId="54" fillId="33" borderId="0" xfId="0" applyFont="1" applyFill="1" applyAlignment="1">
      <alignment/>
    </xf>
    <xf numFmtId="179" fontId="54" fillId="33" borderId="0" xfId="0" applyNumberFormat="1" applyFont="1" applyFill="1" applyAlignment="1">
      <alignment/>
    </xf>
    <xf numFmtId="179" fontId="4" fillId="33" borderId="0" xfId="0" applyNumberFormat="1" applyFont="1" applyFill="1" applyAlignment="1">
      <alignment/>
    </xf>
    <xf numFmtId="0" fontId="4" fillId="33" borderId="0" xfId="0" applyFont="1" applyFill="1" applyAlignment="1">
      <alignment horizontal="left"/>
    </xf>
    <xf numFmtId="0" fontId="1" fillId="0" borderId="0" xfId="0" applyFont="1" applyAlignment="1">
      <alignment/>
    </xf>
    <xf numFmtId="49" fontId="4" fillId="0" borderId="0" xfId="0" applyNumberFormat="1" applyFont="1" applyAlignment="1">
      <alignment/>
    </xf>
    <xf numFmtId="49" fontId="5" fillId="0" borderId="0" xfId="0" applyNumberFormat="1" applyFont="1" applyAlignment="1">
      <alignment/>
    </xf>
    <xf numFmtId="184" fontId="7" fillId="33" borderId="0" xfId="0" applyNumberFormat="1" applyFont="1" applyFill="1" applyAlignment="1">
      <alignment/>
    </xf>
    <xf numFmtId="179" fontId="4" fillId="33" borderId="0" xfId="0" applyNumberFormat="1" applyFont="1" applyFill="1" applyBorder="1" applyAlignment="1">
      <alignment horizontal="center"/>
    </xf>
    <xf numFmtId="179" fontId="5" fillId="33" borderId="0" xfId="0" applyNumberFormat="1" applyFont="1" applyFill="1" applyBorder="1" applyAlignment="1">
      <alignment/>
    </xf>
    <xf numFmtId="179" fontId="4" fillId="33" borderId="0" xfId="0" applyNumberFormat="1" applyFont="1" applyFill="1" applyBorder="1" applyAlignment="1">
      <alignment/>
    </xf>
    <xf numFmtId="180" fontId="5" fillId="33" borderId="0" xfId="0" applyNumberFormat="1" applyFont="1" applyFill="1" applyBorder="1" applyAlignment="1">
      <alignment/>
    </xf>
    <xf numFmtId="0" fontId="5" fillId="33" borderId="0" xfId="0" applyFont="1" applyFill="1" applyAlignment="1">
      <alignment horizontal="right"/>
    </xf>
    <xf numFmtId="0" fontId="9" fillId="0" borderId="0" xfId="0" applyFont="1" applyAlignment="1">
      <alignment/>
    </xf>
    <xf numFmtId="180" fontId="55" fillId="0" borderId="0" xfId="0" applyNumberFormat="1" applyFont="1" applyAlignment="1">
      <alignment horizontal="right" vertical="top"/>
    </xf>
    <xf numFmtId="180" fontId="9" fillId="0" borderId="0" xfId="0" applyNumberFormat="1" applyFont="1" applyAlignment="1">
      <alignment/>
    </xf>
    <xf numFmtId="14" fontId="5" fillId="33" borderId="0" xfId="0" applyNumberFormat="1" applyFont="1" applyFill="1" applyAlignment="1">
      <alignment/>
    </xf>
    <xf numFmtId="0" fontId="5" fillId="34" borderId="0" xfId="0" applyFont="1" applyFill="1" applyAlignment="1">
      <alignment/>
    </xf>
    <xf numFmtId="188" fontId="55" fillId="0" borderId="0" xfId="0" applyNumberFormat="1" applyFont="1" applyAlignment="1">
      <alignment horizontal="right" vertical="top"/>
    </xf>
    <xf numFmtId="0" fontId="1" fillId="0" borderId="0" xfId="0" applyFont="1" applyAlignment="1">
      <alignment wrapText="1"/>
    </xf>
    <xf numFmtId="0" fontId="8" fillId="0" borderId="0" xfId="0" applyFont="1" applyAlignment="1">
      <alignment wrapText="1"/>
    </xf>
    <xf numFmtId="180" fontId="5" fillId="33" borderId="11" xfId="0" applyNumberFormat="1" applyFont="1" applyFill="1" applyBorder="1" applyAlignment="1">
      <alignment horizontal="center"/>
    </xf>
    <xf numFmtId="178" fontId="5" fillId="33" borderId="14" xfId="0" applyNumberFormat="1" applyFont="1" applyFill="1" applyBorder="1" applyAlignment="1">
      <alignment horizontal="center"/>
    </xf>
    <xf numFmtId="180" fontId="5" fillId="33" borderId="12" xfId="0" applyNumberFormat="1" applyFont="1" applyFill="1" applyBorder="1" applyAlignment="1">
      <alignment horizontal="center"/>
    </xf>
    <xf numFmtId="188" fontId="5" fillId="33" borderId="12" xfId="0" applyNumberFormat="1" applyFont="1" applyFill="1" applyBorder="1" applyAlignment="1">
      <alignment horizontal="center"/>
    </xf>
    <xf numFmtId="1" fontId="1" fillId="35" borderId="11" xfId="0" applyNumberFormat="1" applyFont="1" applyFill="1" applyBorder="1" applyAlignment="1" applyProtection="1">
      <alignment/>
      <protection locked="0"/>
    </xf>
    <xf numFmtId="0" fontId="5" fillId="35" borderId="0" xfId="0" applyFont="1" applyFill="1" applyAlignment="1" applyProtection="1">
      <alignment/>
      <protection locked="0"/>
    </xf>
    <xf numFmtId="180" fontId="5" fillId="35" borderId="0" xfId="0" applyNumberFormat="1" applyFont="1" applyFill="1" applyAlignment="1" applyProtection="1">
      <alignment horizontal="right"/>
      <protection locked="0"/>
    </xf>
    <xf numFmtId="0" fontId="9" fillId="0" borderId="0" xfId="0" applyFont="1" applyAlignment="1">
      <alignment vertical="center"/>
    </xf>
    <xf numFmtId="2" fontId="9" fillId="0" borderId="0" xfId="0" applyNumberFormat="1" applyFont="1" applyAlignment="1">
      <alignment/>
    </xf>
    <xf numFmtId="180" fontId="5" fillId="36" borderId="11" xfId="0" applyNumberFormat="1" applyFont="1" applyFill="1" applyBorder="1" applyAlignment="1">
      <alignment horizontal="center"/>
    </xf>
    <xf numFmtId="186" fontId="5" fillId="0" borderId="0" xfId="0" applyNumberFormat="1" applyFont="1" applyFill="1" applyAlignment="1">
      <alignment/>
    </xf>
    <xf numFmtId="179" fontId="5" fillId="36" borderId="0" xfId="0" applyNumberFormat="1" applyFont="1" applyFill="1" applyAlignment="1">
      <alignment/>
    </xf>
    <xf numFmtId="180" fontId="5" fillId="37" borderId="0" xfId="0" applyNumberFormat="1" applyFont="1" applyFill="1" applyAlignment="1">
      <alignment/>
    </xf>
    <xf numFmtId="180" fontId="5" fillId="36" borderId="15" xfId="0" applyNumberFormat="1" applyFont="1" applyFill="1" applyBorder="1" applyAlignment="1">
      <alignment horizontal="center"/>
    </xf>
    <xf numFmtId="178" fontId="5" fillId="33" borderId="12" xfId="0" applyNumberFormat="1" applyFont="1" applyFill="1" applyBorder="1" applyAlignment="1">
      <alignment horizontal="center"/>
    </xf>
    <xf numFmtId="0" fontId="5" fillId="37" borderId="0" xfId="0" applyFont="1" applyFill="1" applyAlignment="1">
      <alignment/>
    </xf>
    <xf numFmtId="180" fontId="5" fillId="37" borderId="10" xfId="0" applyNumberFormat="1" applyFont="1" applyFill="1" applyBorder="1" applyAlignment="1">
      <alignment horizontal="center"/>
    </xf>
    <xf numFmtId="180" fontId="5" fillId="37" borderId="11" xfId="0" applyNumberFormat="1" applyFont="1" applyFill="1" applyBorder="1" applyAlignment="1">
      <alignment horizontal="center"/>
    </xf>
    <xf numFmtId="0" fontId="5" fillId="36" borderId="0" xfId="0" applyFont="1" applyFill="1" applyAlignment="1">
      <alignment/>
    </xf>
    <xf numFmtId="179" fontId="4" fillId="36" borderId="13" xfId="0" applyNumberFormat="1" applyFont="1" applyFill="1" applyBorder="1" applyAlignment="1">
      <alignment horizontal="center"/>
    </xf>
    <xf numFmtId="179" fontId="4" fillId="36" borderId="0" xfId="0" applyNumberFormat="1" applyFont="1" applyFill="1" applyBorder="1" applyAlignment="1">
      <alignment horizontal="center"/>
    </xf>
    <xf numFmtId="180" fontId="5" fillId="36" borderId="16" xfId="0" applyNumberFormat="1" applyFont="1" applyFill="1" applyBorder="1" applyAlignment="1">
      <alignment horizontal="center"/>
    </xf>
    <xf numFmtId="179" fontId="5" fillId="36" borderId="0" xfId="0" applyNumberFormat="1" applyFont="1" applyFill="1" applyBorder="1" applyAlignment="1">
      <alignment/>
    </xf>
    <xf numFmtId="180" fontId="5" fillId="36" borderId="14" xfId="0" applyNumberFormat="1" applyFont="1" applyFill="1" applyBorder="1" applyAlignment="1">
      <alignment horizontal="center"/>
    </xf>
    <xf numFmtId="0" fontId="4" fillId="37" borderId="0" xfId="0" applyFont="1" applyFill="1" applyAlignment="1">
      <alignment/>
    </xf>
    <xf numFmtId="1" fontId="1" fillId="35" borderId="10" xfId="0" applyNumberFormat="1" applyFont="1" applyFill="1" applyBorder="1" applyAlignment="1" applyProtection="1">
      <alignment/>
      <protection locked="0"/>
    </xf>
    <xf numFmtId="1" fontId="1" fillId="35" borderId="12" xfId="0" applyNumberFormat="1" applyFont="1" applyFill="1" applyBorder="1" applyAlignment="1" applyProtection="1">
      <alignment/>
      <protection locked="0"/>
    </xf>
    <xf numFmtId="0" fontId="4" fillId="33" borderId="17" xfId="0" applyFont="1" applyFill="1" applyBorder="1" applyAlignment="1">
      <alignment horizontal="center"/>
    </xf>
    <xf numFmtId="180" fontId="11" fillId="37" borderId="15" xfId="0" applyNumberFormat="1" applyFont="1" applyFill="1" applyBorder="1" applyAlignment="1">
      <alignment horizontal="center" vertical="center"/>
    </xf>
    <xf numFmtId="0" fontId="5" fillId="33" borderId="0" xfId="0" applyFont="1" applyFill="1" applyAlignment="1">
      <alignment horizontal="left"/>
    </xf>
    <xf numFmtId="184" fontId="7" fillId="33" borderId="0" xfId="0" applyNumberFormat="1" applyFont="1" applyFill="1" applyAlignment="1">
      <alignment horizontal="right"/>
    </xf>
    <xf numFmtId="1" fontId="1" fillId="38" borderId="16" xfId="0" applyNumberFormat="1" applyFont="1" applyFill="1" applyBorder="1" applyAlignment="1" applyProtection="1">
      <alignment/>
      <protection/>
    </xf>
    <xf numFmtId="1" fontId="1" fillId="38" borderId="15" xfId="0" applyNumberFormat="1" applyFont="1" applyFill="1" applyBorder="1" applyAlignment="1" applyProtection="1">
      <alignment/>
      <protection/>
    </xf>
    <xf numFmtId="1" fontId="1" fillId="38" borderId="14" xfId="0" applyNumberFormat="1" applyFont="1" applyFill="1" applyBorder="1" applyAlignment="1" applyProtection="1">
      <alignment/>
      <protection/>
    </xf>
    <xf numFmtId="0" fontId="5" fillId="33" borderId="0" xfId="0" applyFont="1" applyFill="1" applyAlignment="1">
      <alignment horizontal="center"/>
    </xf>
    <xf numFmtId="0" fontId="56" fillId="38" borderId="18" xfId="0" applyFont="1" applyFill="1" applyBorder="1" applyAlignment="1" applyProtection="1" quotePrefix="1">
      <alignment horizontal="right"/>
      <protection/>
    </xf>
    <xf numFmtId="0" fontId="4" fillId="39" borderId="0" xfId="0" applyFont="1" applyFill="1" applyAlignment="1" applyProtection="1">
      <alignment/>
      <protection hidden="1"/>
    </xf>
    <xf numFmtId="0" fontId="4" fillId="39" borderId="0" xfId="0" applyFont="1" applyFill="1" applyAlignment="1" applyProtection="1">
      <alignment horizontal="left"/>
      <protection hidden="1"/>
    </xf>
    <xf numFmtId="0" fontId="4" fillId="0" borderId="0" xfId="0" applyFont="1" applyAlignment="1" applyProtection="1">
      <alignment/>
      <protection hidden="1"/>
    </xf>
    <xf numFmtId="188" fontId="5" fillId="39" borderId="0" xfId="0" applyNumberFormat="1" applyFont="1" applyFill="1" applyAlignment="1" applyProtection="1">
      <alignment/>
      <protection hidden="1"/>
    </xf>
    <xf numFmtId="0" fontId="5" fillId="39" borderId="0" xfId="0" applyFont="1" applyFill="1" applyAlignment="1" applyProtection="1">
      <alignment/>
      <protection hidden="1"/>
    </xf>
    <xf numFmtId="0" fontId="5" fillId="39" borderId="0" xfId="0" applyFont="1" applyFill="1" applyAlignment="1" applyProtection="1">
      <alignment horizontal="right"/>
      <protection hidden="1"/>
    </xf>
    <xf numFmtId="180" fontId="5" fillId="40" borderId="0" xfId="0" applyNumberFormat="1" applyFont="1" applyFill="1" applyAlignment="1" applyProtection="1">
      <alignment/>
      <protection hidden="1"/>
    </xf>
    <xf numFmtId="0" fontId="5" fillId="0" borderId="0" xfId="0" applyFont="1" applyAlignment="1" applyProtection="1">
      <alignment/>
      <protection hidden="1"/>
    </xf>
    <xf numFmtId="0" fontId="5" fillId="40" borderId="0" xfId="0" applyFont="1" applyFill="1" applyAlignment="1" applyProtection="1">
      <alignment horizontal="right"/>
      <protection hidden="1"/>
    </xf>
    <xf numFmtId="180" fontId="5" fillId="0" borderId="0" xfId="0" applyNumberFormat="1" applyFont="1" applyAlignment="1" applyProtection="1">
      <alignment/>
      <protection hidden="1"/>
    </xf>
    <xf numFmtId="180" fontId="5" fillId="40" borderId="0" xfId="0" applyNumberFormat="1" applyFont="1" applyFill="1" applyAlignment="1" applyProtection="1">
      <alignment horizontal="right"/>
      <protection hidden="1"/>
    </xf>
    <xf numFmtId="179" fontId="5" fillId="40" borderId="0" xfId="0" applyNumberFormat="1" applyFont="1" applyFill="1" applyAlignment="1" applyProtection="1">
      <alignment horizontal="right"/>
      <protection hidden="1"/>
    </xf>
    <xf numFmtId="188" fontId="5" fillId="0" borderId="0" xfId="0" applyNumberFormat="1" applyFont="1" applyAlignment="1" applyProtection="1">
      <alignment/>
      <protection hidden="1"/>
    </xf>
    <xf numFmtId="188" fontId="5" fillId="0" borderId="0" xfId="0" applyNumberFormat="1" applyFont="1" applyFill="1" applyAlignment="1" applyProtection="1">
      <alignment/>
      <protection hidden="1"/>
    </xf>
    <xf numFmtId="0" fontId="5" fillId="0" borderId="0" xfId="0" applyFont="1" applyFill="1" applyAlignment="1" applyProtection="1">
      <alignment/>
      <protection hidden="1"/>
    </xf>
    <xf numFmtId="0" fontId="5" fillId="0" borderId="0" xfId="0" applyFont="1" applyFill="1" applyAlignment="1" applyProtection="1">
      <alignment horizontal="right"/>
      <protection hidden="1"/>
    </xf>
    <xf numFmtId="180" fontId="5" fillId="0" borderId="0" xfId="0" applyNumberFormat="1" applyFont="1" applyFill="1" applyAlignment="1" applyProtection="1">
      <alignment/>
      <protection hidden="1"/>
    </xf>
    <xf numFmtId="0" fontId="4" fillId="41" borderId="0" xfId="0" applyFont="1" applyFill="1" applyAlignment="1" applyProtection="1">
      <alignment/>
      <protection hidden="1"/>
    </xf>
    <xf numFmtId="0" fontId="5" fillId="41" borderId="0" xfId="0" applyFont="1" applyFill="1" applyAlignment="1" applyProtection="1">
      <alignment/>
      <protection hidden="1"/>
    </xf>
    <xf numFmtId="0" fontId="4" fillId="41" borderId="0" xfId="0" applyFont="1" applyFill="1" applyAlignment="1" applyProtection="1">
      <alignment horizontal="left"/>
      <protection hidden="1"/>
    </xf>
    <xf numFmtId="1" fontId="4" fillId="41" borderId="0" xfId="0" applyNumberFormat="1" applyFont="1" applyFill="1" applyAlignment="1" applyProtection="1">
      <alignment/>
      <protection hidden="1"/>
    </xf>
    <xf numFmtId="188" fontId="5" fillId="41" borderId="0" xfId="0" applyNumberFormat="1" applyFont="1" applyFill="1" applyAlignment="1" applyProtection="1">
      <alignment/>
      <protection hidden="1"/>
    </xf>
    <xf numFmtId="180" fontId="5" fillId="42" borderId="0" xfId="0" applyNumberFormat="1" applyFont="1" applyFill="1" applyAlignment="1" applyProtection="1">
      <alignment/>
      <protection hidden="1"/>
    </xf>
    <xf numFmtId="0" fontId="5" fillId="42" borderId="0" xfId="0" applyFont="1" applyFill="1" applyAlignment="1" applyProtection="1">
      <alignment horizontal="right"/>
      <protection hidden="1"/>
    </xf>
    <xf numFmtId="180" fontId="5" fillId="42" borderId="0" xfId="0" applyNumberFormat="1" applyFont="1" applyFill="1" applyAlignment="1" applyProtection="1">
      <alignment horizontal="right"/>
      <protection hidden="1"/>
    </xf>
    <xf numFmtId="179" fontId="5" fillId="42" borderId="0" xfId="0" applyNumberFormat="1" applyFont="1" applyFill="1" applyAlignment="1" applyProtection="1">
      <alignment horizontal="right"/>
      <protection hidden="1"/>
    </xf>
    <xf numFmtId="180" fontId="4" fillId="39" borderId="0" xfId="0" applyNumberFormat="1" applyFont="1" applyFill="1" applyAlignment="1" applyProtection="1">
      <alignment/>
      <protection hidden="1"/>
    </xf>
    <xf numFmtId="180" fontId="4" fillId="41" borderId="0" xfId="0" applyNumberFormat="1" applyFont="1" applyFill="1" applyAlignment="1" applyProtection="1">
      <alignment/>
      <protection hidden="1"/>
    </xf>
    <xf numFmtId="0" fontId="57" fillId="33" borderId="0" xfId="0" applyFont="1" applyFill="1" applyAlignment="1">
      <alignment/>
    </xf>
    <xf numFmtId="188" fontId="57" fillId="33" borderId="0" xfId="0" applyNumberFormat="1" applyFont="1" applyFill="1" applyAlignment="1">
      <alignment/>
    </xf>
    <xf numFmtId="178" fontId="57" fillId="33" borderId="0" xfId="0" applyNumberFormat="1" applyFont="1" applyFill="1" applyAlignment="1">
      <alignment/>
    </xf>
    <xf numFmtId="179" fontId="57" fillId="33" borderId="0" xfId="0" applyNumberFormat="1" applyFont="1" applyFill="1" applyAlignment="1">
      <alignment/>
    </xf>
    <xf numFmtId="0" fontId="58" fillId="0" borderId="0" xfId="0" applyFont="1" applyAlignment="1">
      <alignment/>
    </xf>
    <xf numFmtId="0" fontId="54" fillId="36" borderId="0" xfId="0" applyFont="1" applyFill="1" applyAlignment="1">
      <alignment/>
    </xf>
    <xf numFmtId="0" fontId="56" fillId="38" borderId="0" xfId="0" applyFont="1" applyFill="1" applyAlignment="1" applyProtection="1" quotePrefix="1">
      <alignment horizontal="right"/>
      <protection/>
    </xf>
    <xf numFmtId="0" fontId="56" fillId="38" borderId="18" xfId="0" applyFont="1" applyFill="1" applyBorder="1" applyAlignment="1" applyProtection="1">
      <alignment horizontal="right"/>
      <protection/>
    </xf>
    <xf numFmtId="0" fontId="57" fillId="38" borderId="18" xfId="0" applyFont="1" applyFill="1" applyBorder="1" applyAlignment="1" applyProtection="1">
      <alignment horizontal="left"/>
      <protection/>
    </xf>
    <xf numFmtId="186" fontId="57" fillId="33" borderId="0" xfId="0" applyNumberFormat="1" applyFont="1" applyFill="1" applyAlignment="1">
      <alignment/>
    </xf>
    <xf numFmtId="181" fontId="57" fillId="33" borderId="0" xfId="0" applyNumberFormat="1" applyFont="1" applyFill="1" applyAlignment="1">
      <alignment/>
    </xf>
    <xf numFmtId="180" fontId="54" fillId="33" borderId="0" xfId="0" applyNumberFormat="1" applyFont="1" applyFill="1" applyAlignment="1">
      <alignment/>
    </xf>
    <xf numFmtId="0" fontId="54" fillId="33" borderId="0" xfId="0" applyFont="1" applyFill="1" applyAlignment="1">
      <alignment horizontal="left"/>
    </xf>
    <xf numFmtId="0" fontId="54" fillId="33" borderId="0" xfId="0" applyFont="1" applyFill="1" applyBorder="1" applyAlignment="1">
      <alignment/>
    </xf>
    <xf numFmtId="0" fontId="57" fillId="33" borderId="0" xfId="0" applyFont="1" applyFill="1" applyBorder="1" applyAlignment="1">
      <alignment/>
    </xf>
    <xf numFmtId="188" fontId="58" fillId="0" borderId="0" xfId="0" applyNumberFormat="1" applyFont="1" applyAlignment="1">
      <alignment/>
    </xf>
    <xf numFmtId="181" fontId="5" fillId="33" borderId="0" xfId="0" applyNumberFormat="1" applyFont="1" applyFill="1" applyAlignment="1">
      <alignment horizontal="left"/>
    </xf>
    <xf numFmtId="0" fontId="1" fillId="43" borderId="0" xfId="0" applyFont="1" applyFill="1" applyAlignment="1" applyProtection="1">
      <alignment/>
      <protection locked="0"/>
    </xf>
    <xf numFmtId="188" fontId="4" fillId="41" borderId="0" xfId="0" applyNumberFormat="1" applyFont="1" applyFill="1" applyAlignment="1" applyProtection="1">
      <alignment/>
      <protection hidden="1"/>
    </xf>
    <xf numFmtId="2" fontId="5" fillId="0" borderId="0" xfId="0" applyNumberFormat="1" applyFont="1" applyFill="1" applyAlignment="1" applyProtection="1">
      <alignment/>
      <protection hidden="1"/>
    </xf>
    <xf numFmtId="188" fontId="5" fillId="44" borderId="0" xfId="0" applyNumberFormat="1" applyFont="1" applyFill="1" applyAlignment="1" applyProtection="1">
      <alignment/>
      <protection hidden="1"/>
    </xf>
    <xf numFmtId="188" fontId="4" fillId="39" borderId="0" xfId="0" applyNumberFormat="1" applyFont="1" applyFill="1" applyAlignment="1" applyProtection="1">
      <alignment/>
      <protection hidden="1"/>
    </xf>
    <xf numFmtId="14" fontId="5" fillId="45" borderId="0" xfId="0" applyNumberFormat="1" applyFont="1" applyFill="1" applyAlignment="1" applyProtection="1">
      <alignment/>
      <protection locked="0"/>
    </xf>
    <xf numFmtId="180" fontId="5" fillId="33" borderId="10" xfId="0" applyNumberFormat="1" applyFont="1" applyFill="1" applyBorder="1" applyAlignment="1">
      <alignment horizontal="center"/>
    </xf>
    <xf numFmtId="0" fontId="4" fillId="33" borderId="13" xfId="0" applyFont="1" applyFill="1" applyBorder="1" applyAlignment="1">
      <alignment/>
    </xf>
    <xf numFmtId="14" fontId="5" fillId="46" borderId="10" xfId="0" applyNumberFormat="1" applyFont="1" applyFill="1" applyBorder="1" applyAlignment="1" applyProtection="1">
      <alignment/>
      <protection locked="0"/>
    </xf>
    <xf numFmtId="14" fontId="5" fillId="46" borderId="11" xfId="0" applyNumberFormat="1" applyFont="1" applyFill="1" applyBorder="1" applyAlignment="1" applyProtection="1">
      <alignment/>
      <protection locked="0"/>
    </xf>
    <xf numFmtId="14" fontId="5" fillId="46" borderId="12" xfId="0" applyNumberFormat="1" applyFont="1" applyFill="1" applyBorder="1" applyAlignment="1" applyProtection="1">
      <alignment/>
      <protection locked="0"/>
    </xf>
    <xf numFmtId="0" fontId="59" fillId="0" borderId="0" xfId="0" applyFont="1" applyAlignment="1">
      <alignment/>
    </xf>
    <xf numFmtId="0" fontId="54" fillId="33" borderId="0" xfId="0" applyFont="1" applyFill="1" applyAlignment="1">
      <alignment horizontal="left"/>
    </xf>
    <xf numFmtId="180" fontId="54" fillId="33" borderId="0" xfId="0" applyNumberFormat="1" applyFont="1" applyFill="1" applyAlignment="1">
      <alignment horizontal="left"/>
    </xf>
    <xf numFmtId="179" fontId="57" fillId="36" borderId="0" xfId="0" applyNumberFormat="1" applyFont="1" applyFill="1" applyAlignment="1">
      <alignment/>
    </xf>
    <xf numFmtId="0" fontId="58" fillId="37" borderId="0" xfId="0" applyFont="1" applyFill="1" applyAlignment="1">
      <alignment/>
    </xf>
    <xf numFmtId="180" fontId="4" fillId="0" borderId="0" xfId="0" applyNumberFormat="1" applyFont="1" applyAlignment="1" applyProtection="1">
      <alignment/>
      <protection hidden="1"/>
    </xf>
    <xf numFmtId="180" fontId="5" fillId="39" borderId="0" xfId="0" applyNumberFormat="1" applyFont="1" applyFill="1" applyAlignment="1" applyProtection="1">
      <alignment/>
      <protection hidden="1"/>
    </xf>
    <xf numFmtId="180" fontId="5" fillId="41" borderId="0" xfId="0" applyNumberFormat="1" applyFont="1" applyFill="1" applyAlignment="1" applyProtection="1">
      <alignment/>
      <protection hidden="1"/>
    </xf>
    <xf numFmtId="180" fontId="5" fillId="37" borderId="16" xfId="0" applyNumberFormat="1" applyFont="1" applyFill="1" applyBorder="1" applyAlignment="1">
      <alignment horizontal="center"/>
    </xf>
    <xf numFmtId="180" fontId="5" fillId="37" borderId="15" xfId="0" applyNumberFormat="1" applyFont="1" applyFill="1" applyBorder="1" applyAlignment="1">
      <alignment horizontal="center"/>
    </xf>
    <xf numFmtId="2" fontId="5" fillId="39" borderId="0" xfId="0" applyNumberFormat="1" applyFont="1" applyFill="1" applyAlignment="1" applyProtection="1">
      <alignment/>
      <protection hidden="1"/>
    </xf>
    <xf numFmtId="178" fontId="4" fillId="34" borderId="13" xfId="0" applyNumberFormat="1" applyFont="1" applyFill="1" applyBorder="1" applyAlignment="1">
      <alignment horizontal="center"/>
    </xf>
    <xf numFmtId="178" fontId="4" fillId="34" borderId="17" xfId="0" applyNumberFormat="1" applyFont="1" applyFill="1" applyBorder="1" applyAlignment="1">
      <alignment horizontal="center"/>
    </xf>
    <xf numFmtId="179" fontId="14" fillId="34" borderId="17" xfId="0" applyNumberFormat="1" applyFont="1" applyFill="1" applyBorder="1" applyAlignment="1">
      <alignment horizontal="center"/>
    </xf>
    <xf numFmtId="0" fontId="5" fillId="41" borderId="0" xfId="0" applyFont="1" applyFill="1" applyAlignment="1" applyProtection="1">
      <alignment horizontal="right"/>
      <protection hidden="1"/>
    </xf>
    <xf numFmtId="178" fontId="5" fillId="33" borderId="10" xfId="0" applyNumberFormat="1" applyFont="1" applyFill="1" applyBorder="1" applyAlignment="1">
      <alignment horizontal="center"/>
    </xf>
    <xf numFmtId="178" fontId="5" fillId="33" borderId="11" xfId="0" applyNumberFormat="1" applyFont="1" applyFill="1" applyBorder="1" applyAlignment="1">
      <alignment horizontal="center"/>
    </xf>
    <xf numFmtId="2" fontId="5" fillId="0" borderId="0" xfId="0" applyNumberFormat="1" applyFont="1" applyAlignment="1" applyProtection="1">
      <alignment/>
      <protection hidden="1"/>
    </xf>
    <xf numFmtId="0" fontId="54" fillId="46" borderId="0" xfId="0" applyFont="1" applyFill="1" applyBorder="1" applyAlignment="1" applyProtection="1">
      <alignment horizontal="center"/>
      <protection locked="0"/>
    </xf>
    <xf numFmtId="0" fontId="14" fillId="39" borderId="0" xfId="0" applyFont="1" applyFill="1" applyAlignment="1" applyProtection="1">
      <alignment/>
      <protection hidden="1"/>
    </xf>
    <xf numFmtId="0" fontId="14" fillId="41" borderId="0" xfId="0" applyFont="1" applyFill="1" applyAlignment="1" applyProtection="1">
      <alignment/>
      <protection hidden="1"/>
    </xf>
    <xf numFmtId="186" fontId="4" fillId="33" borderId="0" xfId="0" applyNumberFormat="1" applyFont="1" applyFill="1" applyAlignment="1">
      <alignment/>
    </xf>
    <xf numFmtId="2" fontId="5" fillId="43" borderId="0" xfId="0" applyNumberFormat="1" applyFont="1" applyFill="1" applyAlignment="1" applyProtection="1">
      <alignment horizontal="right"/>
      <protection locked="0"/>
    </xf>
    <xf numFmtId="2" fontId="5" fillId="43" borderId="0" xfId="0" applyNumberFormat="1" applyFont="1" applyFill="1" applyAlignment="1" applyProtection="1">
      <alignment/>
      <protection locked="0"/>
    </xf>
    <xf numFmtId="185" fontId="1" fillId="43" borderId="10" xfId="0" applyNumberFormat="1" applyFont="1" applyFill="1" applyBorder="1" applyAlignment="1" applyProtection="1">
      <alignment/>
      <protection locked="0"/>
    </xf>
    <xf numFmtId="0" fontId="1" fillId="43" borderId="16" xfId="0" applyFont="1" applyFill="1" applyBorder="1" applyAlignment="1" applyProtection="1">
      <alignment/>
      <protection locked="0"/>
    </xf>
    <xf numFmtId="0" fontId="1" fillId="43" borderId="19" xfId="0" applyFont="1" applyFill="1" applyBorder="1" applyAlignment="1" applyProtection="1">
      <alignment/>
      <protection locked="0"/>
    </xf>
    <xf numFmtId="185" fontId="1" fillId="43" borderId="11" xfId="0" applyNumberFormat="1" applyFont="1" applyFill="1" applyBorder="1" applyAlignment="1" applyProtection="1">
      <alignment/>
      <protection locked="0"/>
    </xf>
    <xf numFmtId="0" fontId="1" fillId="43" borderId="15" xfId="0" applyFont="1" applyFill="1" applyBorder="1" applyAlignment="1" applyProtection="1">
      <alignment/>
      <protection locked="0"/>
    </xf>
    <xf numFmtId="1" fontId="1" fillId="43" borderId="15" xfId="0" applyNumberFormat="1" applyFont="1" applyFill="1" applyBorder="1" applyAlignment="1" applyProtection="1">
      <alignment/>
      <protection locked="0"/>
    </xf>
    <xf numFmtId="185" fontId="1" fillId="43" borderId="12" xfId="0" applyNumberFormat="1" applyFont="1" applyFill="1" applyBorder="1" applyAlignment="1" applyProtection="1">
      <alignment/>
      <protection locked="0"/>
    </xf>
    <xf numFmtId="0" fontId="1" fillId="43" borderId="14" xfId="0" applyFont="1" applyFill="1" applyBorder="1" applyAlignment="1" applyProtection="1">
      <alignment/>
      <protection locked="0"/>
    </xf>
    <xf numFmtId="0" fontId="5" fillId="35" borderId="0" xfId="0" applyFont="1" applyFill="1" applyAlignment="1" applyProtection="1">
      <alignment/>
      <protection locked="0"/>
    </xf>
    <xf numFmtId="0" fontId="5" fillId="35" borderId="0" xfId="0" applyFont="1" applyFill="1" applyAlignment="1" applyProtection="1" quotePrefix="1">
      <alignment/>
      <protection locked="0"/>
    </xf>
    <xf numFmtId="179" fontId="54" fillId="46" borderId="0" xfId="0" applyNumberFormat="1" applyFont="1" applyFill="1" applyAlignment="1" applyProtection="1">
      <alignment horizontal="center"/>
      <protection locked="0"/>
    </xf>
    <xf numFmtId="0" fontId="1" fillId="35" borderId="10" xfId="0" applyFont="1" applyFill="1" applyBorder="1" applyAlignment="1" applyProtection="1">
      <alignment/>
      <protection locked="0"/>
    </xf>
    <xf numFmtId="0" fontId="1" fillId="35" borderId="20" xfId="0" applyFont="1" applyFill="1" applyBorder="1" applyAlignment="1" applyProtection="1">
      <alignment/>
      <protection locked="0"/>
    </xf>
    <xf numFmtId="0" fontId="1" fillId="35" borderId="11" xfId="0" applyFont="1" applyFill="1" applyBorder="1" applyAlignment="1" applyProtection="1">
      <alignment/>
      <protection locked="0"/>
    </xf>
    <xf numFmtId="0" fontId="1" fillId="35" borderId="18" xfId="0" applyFont="1" applyFill="1" applyBorder="1" applyAlignment="1" applyProtection="1">
      <alignment/>
      <protection locked="0"/>
    </xf>
    <xf numFmtId="0" fontId="1" fillId="35" borderId="12" xfId="0" applyFont="1" applyFill="1" applyBorder="1" applyAlignment="1" applyProtection="1">
      <alignment/>
      <protection locked="0"/>
    </xf>
    <xf numFmtId="2" fontId="5" fillId="41" borderId="0" xfId="0" applyNumberFormat="1" applyFont="1" applyFill="1" applyAlignment="1" applyProtection="1">
      <alignment/>
      <protection hidden="1"/>
    </xf>
    <xf numFmtId="0" fontId="1" fillId="0" borderId="0" xfId="0" applyFont="1" applyAlignment="1">
      <alignment wrapText="1"/>
    </xf>
    <xf numFmtId="0" fontId="16" fillId="0" borderId="0" xfId="0" applyFont="1" applyAlignment="1">
      <alignment/>
    </xf>
    <xf numFmtId="184" fontId="0" fillId="0" borderId="0" xfId="0" applyNumberFormat="1" applyAlignment="1">
      <alignment/>
    </xf>
    <xf numFmtId="180" fontId="54" fillId="33" borderId="0" xfId="0" applyNumberFormat="1" applyFont="1" applyFill="1" applyAlignment="1">
      <alignment horizontal="left"/>
    </xf>
    <xf numFmtId="0" fontId="54" fillId="33" borderId="0" xfId="0" applyFont="1" applyFill="1" applyAlignment="1">
      <alignment horizontal="left"/>
    </xf>
    <xf numFmtId="0" fontId="54" fillId="33" borderId="0" xfId="0" applyFont="1" applyFill="1" applyBorder="1" applyAlignment="1">
      <alignment horizontal="left"/>
    </xf>
    <xf numFmtId="179" fontId="54" fillId="33" borderId="0" xfId="0" applyNumberFormat="1" applyFont="1" applyFill="1" applyAlignment="1">
      <alignment horizontal="left"/>
    </xf>
    <xf numFmtId="0" fontId="5" fillId="35" borderId="0" xfId="0" applyFont="1" applyFill="1" applyAlignment="1" applyProtection="1">
      <alignment/>
      <protection locked="0"/>
    </xf>
    <xf numFmtId="0" fontId="5" fillId="35" borderId="0" xfId="0" applyFont="1" applyFill="1" applyAlignment="1" applyProtection="1">
      <alignment horizontal="left"/>
      <protection locked="0"/>
    </xf>
    <xf numFmtId="184" fontId="5" fillId="33" borderId="0" xfId="0" applyNumberFormat="1" applyFont="1" applyFill="1" applyAlignment="1">
      <alignment horizontal="left"/>
    </xf>
    <xf numFmtId="0" fontId="4" fillId="33" borderId="0" xfId="0" applyFont="1" applyFill="1" applyAlignment="1">
      <alignment horizontal="left"/>
    </xf>
    <xf numFmtId="0" fontId="5" fillId="46" borderId="0" xfId="0" applyFont="1" applyFill="1" applyAlignment="1" applyProtection="1">
      <alignment horizontal="left"/>
      <protection locked="0"/>
    </xf>
    <xf numFmtId="180" fontId="5" fillId="33" borderId="0" xfId="0" applyNumberFormat="1" applyFont="1" applyFill="1" applyAlignment="1">
      <alignment horizontal="right"/>
    </xf>
    <xf numFmtId="184" fontId="7" fillId="33" borderId="0" xfId="0" applyNumberFormat="1" applyFont="1" applyFill="1" applyAlignment="1">
      <alignment horizontal="left"/>
    </xf>
    <xf numFmtId="0" fontId="55" fillId="0" borderId="0" xfId="0" applyFont="1" applyAlignment="1">
      <alignment horizontal="left"/>
    </xf>
    <xf numFmtId="0" fontId="55"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20"/>
  <sheetViews>
    <sheetView zoomScale="120" zoomScaleNormal="120" zoomScalePageLayoutView="0" workbookViewId="0" topLeftCell="A1">
      <selection activeCell="H19" sqref="H19"/>
    </sheetView>
  </sheetViews>
  <sheetFormatPr defaultColWidth="11.421875" defaultRowHeight="12.75"/>
  <cols>
    <col min="1" max="1" width="15.140625" style="122" customWidth="1"/>
    <col min="2" max="2" width="18.421875" style="122" customWidth="1"/>
    <col min="3" max="3" width="3.140625" style="122" bestFit="1" customWidth="1"/>
    <col min="4" max="4" width="5.140625" style="122" bestFit="1" customWidth="1"/>
    <col min="5" max="5" width="9.8515625" style="122" customWidth="1"/>
    <col min="6" max="6" width="11.421875" style="133" customWidth="1"/>
    <col min="7" max="7" width="8.28125" style="122" bestFit="1" customWidth="1"/>
    <col min="8" max="8" width="8.8515625" style="122" bestFit="1" customWidth="1"/>
    <col min="9" max="16384" width="10.8515625" style="122" customWidth="1"/>
  </cols>
  <sheetData>
    <row r="1" spans="1:9" ht="13.5">
      <c r="A1" s="33"/>
      <c r="B1" s="33"/>
      <c r="C1" s="118"/>
      <c r="D1" s="118"/>
      <c r="E1" s="118"/>
      <c r="F1" s="119"/>
      <c r="G1" s="120"/>
      <c r="H1" s="149"/>
      <c r="I1" s="150"/>
    </row>
    <row r="2" spans="1:9" ht="13.5">
      <c r="A2" s="33" t="s">
        <v>0</v>
      </c>
      <c r="B2" s="194"/>
      <c r="C2" s="194"/>
      <c r="D2" s="194"/>
      <c r="E2" s="194"/>
      <c r="F2" s="119"/>
      <c r="G2" s="118"/>
      <c r="H2" s="118"/>
      <c r="I2" s="150"/>
    </row>
    <row r="3" spans="1:9" ht="13.5">
      <c r="A3" s="33" t="s">
        <v>1</v>
      </c>
      <c r="B3" s="194"/>
      <c r="C3" s="194"/>
      <c r="D3" s="194"/>
      <c r="E3" s="194"/>
      <c r="F3" s="119"/>
      <c r="G3" s="118"/>
      <c r="H3" s="118"/>
      <c r="I3" s="150"/>
    </row>
    <row r="4" spans="1:9" ht="13.5">
      <c r="A4" s="33" t="s">
        <v>2</v>
      </c>
      <c r="B4" s="195"/>
      <c r="C4" s="195"/>
      <c r="D4" s="195"/>
      <c r="E4" s="195"/>
      <c r="F4" s="119"/>
      <c r="G4" s="118"/>
      <c r="H4" s="118"/>
      <c r="I4" s="150"/>
    </row>
    <row r="5" spans="1:9" ht="13.5">
      <c r="A5" s="33" t="s">
        <v>3</v>
      </c>
      <c r="B5" s="194"/>
      <c r="C5" s="194"/>
      <c r="D5" s="194"/>
      <c r="E5" s="194"/>
      <c r="F5" s="119"/>
      <c r="G5" s="118"/>
      <c r="H5" s="118"/>
      <c r="I5" s="150"/>
    </row>
    <row r="6" spans="1:9" ht="13.5">
      <c r="A6" s="33" t="s">
        <v>4</v>
      </c>
      <c r="B6" s="194"/>
      <c r="C6" s="194"/>
      <c r="D6" s="194"/>
      <c r="E6" s="194"/>
      <c r="F6" s="119"/>
      <c r="G6" s="118"/>
      <c r="H6" s="118"/>
      <c r="I6" s="150"/>
    </row>
    <row r="7" spans="1:9" ht="13.5" customHeight="1">
      <c r="A7" s="33" t="s">
        <v>1202</v>
      </c>
      <c r="B7" s="179"/>
      <c r="C7" s="178"/>
      <c r="D7" s="178"/>
      <c r="E7" s="178"/>
      <c r="F7" s="119"/>
      <c r="G7" s="118"/>
      <c r="H7" s="118"/>
      <c r="I7" s="150"/>
    </row>
    <row r="8" spans="1:9" ht="13.5" customHeight="1">
      <c r="A8" s="123"/>
      <c r="B8" s="124" t="s">
        <v>1263</v>
      </c>
      <c r="C8" s="89" t="s">
        <v>1266</v>
      </c>
      <c r="D8" s="125" t="s">
        <v>1264</v>
      </c>
      <c r="E8" s="126" t="s">
        <v>1265</v>
      </c>
      <c r="F8" s="119"/>
      <c r="G8" s="118"/>
      <c r="H8" s="118"/>
      <c r="I8" s="150"/>
    </row>
    <row r="9" spans="1:9" ht="13.5">
      <c r="A9" s="33" t="s">
        <v>5</v>
      </c>
      <c r="B9" s="59"/>
      <c r="C9" s="59"/>
      <c r="D9" s="59"/>
      <c r="E9" s="59"/>
      <c r="F9" s="119">
        <f>IF(E9="N",(B9+C9/60+D9/3600),(-1*(B9+C9/60+D9/3600)))</f>
        <v>0</v>
      </c>
      <c r="G9" s="121"/>
      <c r="H9" s="118"/>
      <c r="I9" s="150"/>
    </row>
    <row r="10" spans="1:9" ht="13.5">
      <c r="A10" s="33" t="s">
        <v>6</v>
      </c>
      <c r="B10" s="59"/>
      <c r="C10" s="59"/>
      <c r="D10" s="59"/>
      <c r="E10" s="59"/>
      <c r="F10" s="119">
        <f>IF(E10="W",(B10+C10/60+D10/3600),(-1*(B10+C10/60+D10/3600)))</f>
        <v>0</v>
      </c>
      <c r="G10" s="127">
        <f>F10/15</f>
        <v>0</v>
      </c>
      <c r="H10" s="118" t="s">
        <v>35</v>
      </c>
      <c r="I10" s="150"/>
    </row>
    <row r="11" spans="1:9" ht="13.5">
      <c r="A11" s="33"/>
      <c r="B11" s="127"/>
      <c r="C11" s="127"/>
      <c r="D11" s="127"/>
      <c r="E11" s="127"/>
      <c r="F11" s="119"/>
      <c r="G11" s="127"/>
      <c r="H11" s="118"/>
      <c r="I11" s="150"/>
    </row>
    <row r="12" spans="1:9" ht="13.5">
      <c r="A12" s="33" t="s">
        <v>1245</v>
      </c>
      <c r="B12" s="59"/>
      <c r="C12" s="127"/>
      <c r="D12" s="127"/>
      <c r="E12" s="127"/>
      <c r="F12" s="119"/>
      <c r="G12" s="127"/>
      <c r="H12" s="118"/>
      <c r="I12" s="150"/>
    </row>
    <row r="13" spans="1:9" ht="13.5">
      <c r="A13" s="33" t="s">
        <v>1246</v>
      </c>
      <c r="B13" s="59"/>
      <c r="C13" s="127"/>
      <c r="D13" s="127"/>
      <c r="E13" s="127"/>
      <c r="F13" s="119"/>
      <c r="G13" s="127"/>
      <c r="H13" s="118"/>
      <c r="I13" s="150"/>
    </row>
    <row r="14" spans="1:9" ht="13.5">
      <c r="A14" s="33"/>
      <c r="B14" s="127"/>
      <c r="C14" s="128"/>
      <c r="D14" s="127"/>
      <c r="E14" s="118"/>
      <c r="F14" s="119"/>
      <c r="G14" s="127"/>
      <c r="H14" s="118"/>
      <c r="I14" s="150"/>
    </row>
    <row r="15" spans="1:9" ht="13.5">
      <c r="A15" s="129" t="s">
        <v>1267</v>
      </c>
      <c r="B15" s="60"/>
      <c r="C15" s="190" t="s">
        <v>1103</v>
      </c>
      <c r="D15" s="190"/>
      <c r="E15" s="190"/>
      <c r="F15" s="190"/>
      <c r="G15" s="190"/>
      <c r="H15" s="148"/>
      <c r="I15" s="150"/>
    </row>
    <row r="16" spans="1:9" ht="13.5">
      <c r="A16" s="33" t="s">
        <v>1268</v>
      </c>
      <c r="B16" s="60"/>
      <c r="C16" s="191" t="s">
        <v>1102</v>
      </c>
      <c r="D16" s="191"/>
      <c r="E16" s="191"/>
      <c r="F16" s="191"/>
      <c r="G16" s="191"/>
      <c r="H16" s="147" t="s">
        <v>1357</v>
      </c>
      <c r="I16" s="150"/>
    </row>
    <row r="17" spans="1:9" ht="13.5">
      <c r="A17" s="130" t="s">
        <v>1251</v>
      </c>
      <c r="B17" s="168">
        <v>0.25</v>
      </c>
      <c r="C17" s="192" t="s">
        <v>1250</v>
      </c>
      <c r="D17" s="192"/>
      <c r="E17" s="192"/>
      <c r="F17" s="192"/>
      <c r="G17" s="192"/>
      <c r="H17" s="164" t="s">
        <v>1376</v>
      </c>
      <c r="I17" s="150"/>
    </row>
    <row r="18" spans="1:9" ht="13.5">
      <c r="A18" s="130" t="s">
        <v>1252</v>
      </c>
      <c r="B18" s="169">
        <v>0.38</v>
      </c>
      <c r="C18" s="192" t="s">
        <v>1249</v>
      </c>
      <c r="D18" s="192"/>
      <c r="E18" s="192"/>
      <c r="F18" s="192"/>
      <c r="G18" s="192"/>
      <c r="H18" s="164" t="s">
        <v>1376</v>
      </c>
      <c r="I18" s="150"/>
    </row>
    <row r="19" spans="1:9" ht="13.5">
      <c r="A19" s="34" t="s">
        <v>1253</v>
      </c>
      <c r="B19" s="60">
        <v>-0.04</v>
      </c>
      <c r="C19" s="193" t="s">
        <v>1248</v>
      </c>
      <c r="D19" s="193"/>
      <c r="E19" s="193"/>
      <c r="F19" s="193"/>
      <c r="G19" s="193"/>
      <c r="H19" s="180" t="s">
        <v>1376</v>
      </c>
      <c r="I19" s="150"/>
    </row>
    <row r="20" spans="1:9" ht="13.5">
      <c r="A20" s="131"/>
      <c r="B20" s="131"/>
      <c r="C20" s="132"/>
      <c r="D20" s="118"/>
      <c r="E20" s="118"/>
      <c r="F20" s="119"/>
      <c r="G20" s="121"/>
      <c r="H20" s="118"/>
      <c r="I20" s="150"/>
    </row>
  </sheetData>
  <sheetProtection sheet="1" objects="1" scenarios="1" selectLockedCells="1"/>
  <mergeCells count="10">
    <mergeCell ref="C15:G15"/>
    <mergeCell ref="C16:G16"/>
    <mergeCell ref="C17:G17"/>
    <mergeCell ref="C18:G18"/>
    <mergeCell ref="C19:G19"/>
    <mergeCell ref="B2:E2"/>
    <mergeCell ref="B3:E3"/>
    <mergeCell ref="B4:E4"/>
    <mergeCell ref="B5:E5"/>
    <mergeCell ref="B6:E6"/>
  </mergeCells>
  <printOptions/>
  <pageMargins left="0.75" right="0.75" top="1" bottom="1"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9"/>
  <sheetViews>
    <sheetView zoomScale="125" zoomScaleNormal="125" zoomScalePageLayoutView="0" workbookViewId="0" topLeftCell="A1">
      <selection activeCell="C10" sqref="C10"/>
    </sheetView>
  </sheetViews>
  <sheetFormatPr defaultColWidth="11.57421875" defaultRowHeight="12.75"/>
  <cols>
    <col min="1" max="1" width="3.00390625" style="6" customWidth="1"/>
    <col min="2" max="2" width="15.7109375" style="6" bestFit="1" customWidth="1"/>
    <col min="3" max="3" width="15.00390625" style="15" customWidth="1"/>
    <col min="4" max="7" width="15.00390625" style="6" customWidth="1"/>
    <col min="8" max="9" width="5.00390625" style="20" customWidth="1"/>
    <col min="10" max="11" width="15.00390625" style="21" customWidth="1"/>
    <col min="12" max="13" width="15.00390625" style="6" hidden="1" customWidth="1"/>
    <col min="14" max="14" width="20.7109375" style="6" hidden="1" customWidth="1"/>
    <col min="15" max="16384" width="11.421875" style="6" customWidth="1"/>
  </cols>
  <sheetData>
    <row r="1" spans="1:15" ht="15">
      <c r="A1" s="69"/>
      <c r="B1" s="1"/>
      <c r="C1" s="1"/>
      <c r="D1" s="2"/>
      <c r="E1" s="2"/>
      <c r="F1" s="2"/>
      <c r="G1" s="2"/>
      <c r="H1" s="3"/>
      <c r="I1" s="3"/>
      <c r="J1" s="4"/>
      <c r="K1" s="4"/>
      <c r="L1" s="69"/>
      <c r="M1" s="69"/>
      <c r="N1" s="69"/>
      <c r="O1" s="69"/>
    </row>
    <row r="2" spans="1:15" ht="15">
      <c r="A2" s="69"/>
      <c r="B2" s="1" t="s">
        <v>1269</v>
      </c>
      <c r="C2" s="140"/>
      <c r="D2" s="134"/>
      <c r="E2" s="167" t="s">
        <v>1390</v>
      </c>
      <c r="F2" s="198"/>
      <c r="G2" s="198"/>
      <c r="H2" s="198"/>
      <c r="I2" s="198"/>
      <c r="J2" s="198"/>
      <c r="K2" s="198"/>
      <c r="L2" s="69"/>
      <c r="M2" s="69"/>
      <c r="N2" s="69"/>
      <c r="O2" s="69"/>
    </row>
    <row r="3" spans="1:15" ht="15">
      <c r="A3" s="69"/>
      <c r="B3" s="1"/>
      <c r="C3" s="2"/>
      <c r="D3" s="2"/>
      <c r="E3" s="2"/>
      <c r="F3" s="2"/>
      <c r="G3" s="3"/>
      <c r="H3" s="4"/>
      <c r="I3" s="4"/>
      <c r="J3" s="2"/>
      <c r="K3" s="2"/>
      <c r="L3" s="69"/>
      <c r="M3" s="69"/>
      <c r="N3" s="69"/>
      <c r="O3" s="69"/>
    </row>
    <row r="4" spans="1:15" ht="15">
      <c r="A4" s="69"/>
      <c r="B4" s="1" t="s">
        <v>7</v>
      </c>
      <c r="C4" s="2" t="s">
        <v>1200</v>
      </c>
      <c r="D4" s="2"/>
      <c r="E4" s="2"/>
      <c r="F4" s="2"/>
      <c r="G4" s="3"/>
      <c r="H4" s="4"/>
      <c r="I4" s="65"/>
      <c r="J4" s="2"/>
      <c r="K4" s="2"/>
      <c r="L4" s="69"/>
      <c r="M4" s="69"/>
      <c r="N4" s="69"/>
      <c r="O4" s="69"/>
    </row>
    <row r="5" spans="1:15" ht="15">
      <c r="A5" s="69"/>
      <c r="B5" s="1" t="s">
        <v>16</v>
      </c>
      <c r="C5" s="59"/>
      <c r="D5" s="11" t="s">
        <v>22</v>
      </c>
      <c r="E5" s="84" t="e">
        <f>INDEX(starparm_2019Jun05!$D$1:$D$1998,MATCH(C5,starparm_2019Jun05!$A$1:$A$1998,))</f>
        <v>#N/A</v>
      </c>
      <c r="F5" s="11" t="s">
        <v>23</v>
      </c>
      <c r="G5" s="200" t="e">
        <f>INDEX(starparm_2019Jun05!$E$1:$E$1998,MATCH(C5,starparm_2019Jun05!$A$1:$A$1998,))</f>
        <v>#N/A</v>
      </c>
      <c r="H5" s="200"/>
      <c r="I5" s="200"/>
      <c r="J5" s="10"/>
      <c r="K5" s="10"/>
      <c r="L5" s="72"/>
      <c r="M5" s="72"/>
      <c r="N5" s="72"/>
      <c r="O5" s="69"/>
    </row>
    <row r="6" spans="1:15" ht="15">
      <c r="A6" s="69"/>
      <c r="B6" s="1" t="s">
        <v>14</v>
      </c>
      <c r="C6" s="11" t="e">
        <f>INDEX(starparm_2019Jun05!$I$1:$I$1998,MATCH(C5,starparm_2019Jun05!$A$1:$A$1998,))</f>
        <v>#N/A</v>
      </c>
      <c r="D6" s="11" t="s">
        <v>24</v>
      </c>
      <c r="E6" s="84" t="e">
        <f>INDEX(starparm_2019Jun05!$J$1:$J$1998,MATCH(C5,starparm_2019Jun05!$A$1:$A$1998,))</f>
        <v>#N/A</v>
      </c>
      <c r="F6" s="11" t="s">
        <v>25</v>
      </c>
      <c r="G6" s="196" t="e">
        <f>INDEX(starparm_2019Jun05!$K$1:$K$1998,MATCH(C5,starparm_2019Jun05!$A$1:$A$1998,))</f>
        <v>#N/A</v>
      </c>
      <c r="H6" s="196"/>
      <c r="I6" s="196"/>
      <c r="J6" s="12" t="s">
        <v>47</v>
      </c>
      <c r="K6" s="2" t="e">
        <f>IF($C$4="V",INDEX(starparm_2019Jun05!$L$1:$L$1998,MATCH($C$5,starparm_2019Jun05!$A$1:$A$1998,)),INDEX(starparm_2019Jun05!$L$1:$L$1998,MATCH($C$5,starparm_2019Jun05!$A$1:$A$1998,))+INDEX(starparm_2019Jun05!$M$1:$M$1998,MATCH($C$5,starparm_2019Jun05!$A$1:$A$1998,)))</f>
        <v>#N/A</v>
      </c>
      <c r="L6" s="72"/>
      <c r="M6" s="72"/>
      <c r="N6" s="72"/>
      <c r="O6" s="69"/>
    </row>
    <row r="7" spans="1:15" ht="15">
      <c r="A7" s="69"/>
      <c r="B7" s="1" t="s">
        <v>18</v>
      </c>
      <c r="C7" s="11" t="e">
        <f>INDEX(starparm_2019Jun05!$N$1:$N$1998,MATCH(C5,starparm_2019Jun05!$A$1:$A$1998,))</f>
        <v>#N/A</v>
      </c>
      <c r="D7" s="11" t="s">
        <v>28</v>
      </c>
      <c r="E7" s="84" t="e">
        <f>INDEX(starparm_2019Jun05!$O$1:$O$1998,MATCH(C5,starparm_2019Jun05!$A$1:$A$1998,))</f>
        <v>#N/A</v>
      </c>
      <c r="F7" s="11" t="s">
        <v>29</v>
      </c>
      <c r="G7" s="196" t="e">
        <f>INDEX(starparm_2019Jun05!$P$1:$P$1998,MATCH(C5,starparm_2019Jun05!$A$1:$A$1998,))</f>
        <v>#N/A</v>
      </c>
      <c r="H7" s="196"/>
      <c r="I7" s="196"/>
      <c r="J7" s="12" t="s">
        <v>48</v>
      </c>
      <c r="K7" s="2" t="e">
        <f>IF($C$4="V",INDEX(starparm_2019Jun05!$Q$1:$Q$1998,MATCH($C$5,starparm_2019Jun05!$A$1:$A$1998,)),INDEX(starparm_2019Jun05!$Q$1:$Q$1998,MATCH($C$5,starparm_2019Jun05!$A$1:$A$1998,))+INDEX(starparm_2019Jun05!$Q$1:$Q$1998,MATCH($C$5,starparm_2019Jun05!$A$1:$A$1998,)))</f>
        <v>#N/A</v>
      </c>
      <c r="L7" s="72"/>
      <c r="M7" s="72"/>
      <c r="N7" s="72"/>
      <c r="O7" s="69"/>
    </row>
    <row r="8" spans="1:15" ht="15">
      <c r="A8" s="69"/>
      <c r="B8" s="1"/>
      <c r="C8" s="1"/>
      <c r="D8" s="2"/>
      <c r="E8" s="2"/>
      <c r="F8" s="2"/>
      <c r="G8" s="2"/>
      <c r="H8" s="50"/>
      <c r="I8" s="50"/>
      <c r="J8" s="4"/>
      <c r="K8" s="69"/>
      <c r="L8" s="69"/>
      <c r="M8" s="69"/>
      <c r="N8" s="69"/>
      <c r="O8" s="69"/>
    </row>
    <row r="9" spans="1:15" s="15" customFormat="1" ht="15">
      <c r="A9" s="78"/>
      <c r="B9" s="1"/>
      <c r="C9" s="142" t="s">
        <v>1269</v>
      </c>
      <c r="D9" s="22" t="s">
        <v>31</v>
      </c>
      <c r="E9" s="81" t="s">
        <v>9</v>
      </c>
      <c r="F9" s="22" t="s">
        <v>10</v>
      </c>
      <c r="G9" s="22" t="s">
        <v>11</v>
      </c>
      <c r="H9" s="23" t="s">
        <v>8</v>
      </c>
      <c r="I9" s="23" t="s">
        <v>1254</v>
      </c>
      <c r="J9" s="23" t="s">
        <v>12</v>
      </c>
      <c r="K9" s="24" t="s">
        <v>13</v>
      </c>
      <c r="L9" s="24" t="s">
        <v>1361</v>
      </c>
      <c r="M9" s="24" t="s">
        <v>1362</v>
      </c>
      <c r="N9" s="73" t="s">
        <v>1360</v>
      </c>
      <c r="O9" s="74"/>
    </row>
    <row r="10" spans="1:15" ht="15">
      <c r="A10" s="69"/>
      <c r="B10" s="13" t="s">
        <v>14</v>
      </c>
      <c r="C10" s="143">
        <f>$C$2</f>
        <v>0</v>
      </c>
      <c r="D10" s="170"/>
      <c r="E10" s="171"/>
      <c r="F10" s="171"/>
      <c r="G10" s="172"/>
      <c r="H10" s="79">
        <v>10</v>
      </c>
      <c r="I10" s="85">
        <v>10</v>
      </c>
      <c r="J10" s="141" t="e">
        <f aca="true" t="shared" si="0" ref="J10:J19">AVERAGE(E10:G10)</f>
        <v>#DIV/0!</v>
      </c>
      <c r="K10" s="161" t="e">
        <f>(J10-J11)</f>
        <v>#DIV/0!</v>
      </c>
      <c r="L10" s="70" t="e">
        <f>-2.5*LOG10(K10/(H10*I10))</f>
        <v>#DIV/0!</v>
      </c>
      <c r="M10" s="154"/>
      <c r="N10" s="75"/>
      <c r="O10" s="76"/>
    </row>
    <row r="11" spans="1:15" ht="15">
      <c r="A11" s="69"/>
      <c r="B11" s="16" t="s">
        <v>15</v>
      </c>
      <c r="C11" s="144">
        <f>C10</f>
        <v>0</v>
      </c>
      <c r="D11" s="173"/>
      <c r="E11" s="174"/>
      <c r="F11" s="174"/>
      <c r="G11" s="135"/>
      <c r="H11" s="58">
        <v>10</v>
      </c>
      <c r="I11" s="86">
        <v>10</v>
      </c>
      <c r="J11" s="54" t="e">
        <f t="shared" si="0"/>
        <v>#DIV/0!</v>
      </c>
      <c r="K11" s="162"/>
      <c r="L11" s="71"/>
      <c r="M11" s="155"/>
      <c r="N11" s="67"/>
      <c r="O11" s="76"/>
    </row>
    <row r="12" spans="1:15" ht="15.75">
      <c r="A12" s="69"/>
      <c r="B12" s="16" t="s">
        <v>16</v>
      </c>
      <c r="C12" s="144">
        <f aca="true" t="shared" si="1" ref="C12:C27">C11</f>
        <v>0</v>
      </c>
      <c r="D12" s="173"/>
      <c r="E12" s="174"/>
      <c r="F12" s="174"/>
      <c r="G12" s="135"/>
      <c r="H12" s="58">
        <v>10</v>
      </c>
      <c r="I12" s="86">
        <v>10</v>
      </c>
      <c r="J12" s="54" t="e">
        <f t="shared" si="0"/>
        <v>#DIV/0!</v>
      </c>
      <c r="K12" s="162" t="e">
        <f>(J12-J13)</f>
        <v>#DIV/0!</v>
      </c>
      <c r="L12" s="71" t="e">
        <f>-2.5*LOG10(K12/(H12*I12))</f>
        <v>#DIV/0!</v>
      </c>
      <c r="M12" s="155" t="e">
        <f>(L10+((L14-L10)/(D14-D10)*(D12-D10)))</f>
        <v>#DIV/0!</v>
      </c>
      <c r="N12" s="82" t="e">
        <f>L12-M12</f>
        <v>#DIV/0!</v>
      </c>
      <c r="O12" s="76"/>
    </row>
    <row r="13" spans="1:15" ht="15.75">
      <c r="A13" s="69"/>
      <c r="B13" s="16" t="s">
        <v>17</v>
      </c>
      <c r="C13" s="144">
        <f t="shared" si="1"/>
        <v>0</v>
      </c>
      <c r="D13" s="173"/>
      <c r="E13" s="174"/>
      <c r="F13" s="174"/>
      <c r="G13" s="135"/>
      <c r="H13" s="58">
        <v>10</v>
      </c>
      <c r="I13" s="86">
        <v>10</v>
      </c>
      <c r="J13" s="54" t="e">
        <f t="shared" si="0"/>
        <v>#DIV/0!</v>
      </c>
      <c r="K13" s="162"/>
      <c r="L13" s="71"/>
      <c r="M13" s="155"/>
      <c r="N13" s="67"/>
      <c r="O13" s="76"/>
    </row>
    <row r="14" spans="1:15" ht="15.75">
      <c r="A14" s="69"/>
      <c r="B14" s="16" t="s">
        <v>14</v>
      </c>
      <c r="C14" s="144">
        <f t="shared" si="1"/>
        <v>0</v>
      </c>
      <c r="D14" s="173"/>
      <c r="E14" s="174"/>
      <c r="F14" s="174"/>
      <c r="G14" s="135"/>
      <c r="H14" s="58">
        <v>10</v>
      </c>
      <c r="I14" s="86">
        <v>10</v>
      </c>
      <c r="J14" s="54" t="e">
        <f t="shared" si="0"/>
        <v>#DIV/0!</v>
      </c>
      <c r="K14" s="162" t="e">
        <f>(J14-J15)</f>
        <v>#DIV/0!</v>
      </c>
      <c r="L14" s="71" t="e">
        <f>-2.5*LOG10(K14/(H14*I14))</f>
        <v>#DIV/0!</v>
      </c>
      <c r="M14" s="155"/>
      <c r="N14" s="67"/>
      <c r="O14" s="76"/>
    </row>
    <row r="15" spans="1:15" ht="15.75">
      <c r="A15" s="69"/>
      <c r="B15" s="16" t="s">
        <v>15</v>
      </c>
      <c r="C15" s="144">
        <f t="shared" si="1"/>
        <v>0</v>
      </c>
      <c r="D15" s="173"/>
      <c r="E15" s="174"/>
      <c r="F15" s="174"/>
      <c r="G15" s="135"/>
      <c r="H15" s="58">
        <v>10</v>
      </c>
      <c r="I15" s="86">
        <v>10</v>
      </c>
      <c r="J15" s="54" t="e">
        <f t="shared" si="0"/>
        <v>#DIV/0!</v>
      </c>
      <c r="K15" s="162"/>
      <c r="L15" s="71"/>
      <c r="M15" s="155"/>
      <c r="N15" s="67"/>
      <c r="O15" s="76"/>
    </row>
    <row r="16" spans="1:15" ht="15.75">
      <c r="A16" s="69"/>
      <c r="B16" s="16" t="s">
        <v>16</v>
      </c>
      <c r="C16" s="144">
        <f t="shared" si="1"/>
        <v>0</v>
      </c>
      <c r="D16" s="173"/>
      <c r="E16" s="174"/>
      <c r="F16" s="174"/>
      <c r="G16" s="135"/>
      <c r="H16" s="58">
        <v>10</v>
      </c>
      <c r="I16" s="86">
        <v>10</v>
      </c>
      <c r="J16" s="54" t="e">
        <f t="shared" si="0"/>
        <v>#DIV/0!</v>
      </c>
      <c r="K16" s="162" t="e">
        <f>(J16-J17)</f>
        <v>#DIV/0!</v>
      </c>
      <c r="L16" s="71" t="e">
        <f>-2.5*LOG10(K16/(H16*I16))</f>
        <v>#DIV/0!</v>
      </c>
      <c r="M16" s="155" t="e">
        <f>(L14+((L18-L14)/(D18-D14)*(D16-D14)))</f>
        <v>#DIV/0!</v>
      </c>
      <c r="N16" s="82" t="e">
        <f>L16-M16</f>
        <v>#DIV/0!</v>
      </c>
      <c r="O16" s="76"/>
    </row>
    <row r="17" spans="1:15" ht="15.75">
      <c r="A17" s="69"/>
      <c r="B17" s="16" t="s">
        <v>17</v>
      </c>
      <c r="C17" s="144">
        <f t="shared" si="1"/>
        <v>0</v>
      </c>
      <c r="D17" s="173"/>
      <c r="E17" s="174"/>
      <c r="F17" s="174"/>
      <c r="G17" s="135"/>
      <c r="H17" s="58">
        <v>10</v>
      </c>
      <c r="I17" s="86">
        <v>10</v>
      </c>
      <c r="J17" s="54" t="e">
        <f t="shared" si="0"/>
        <v>#DIV/0!</v>
      </c>
      <c r="K17" s="162"/>
      <c r="L17" s="71"/>
      <c r="M17" s="155"/>
      <c r="N17" s="67"/>
      <c r="O17" s="76"/>
    </row>
    <row r="18" spans="1:15" ht="15.75">
      <c r="A18" s="69"/>
      <c r="B18" s="16" t="s">
        <v>14</v>
      </c>
      <c r="C18" s="144">
        <f t="shared" si="1"/>
        <v>0</v>
      </c>
      <c r="D18" s="173"/>
      <c r="E18" s="174"/>
      <c r="F18" s="174"/>
      <c r="G18" s="135"/>
      <c r="H18" s="58">
        <v>10</v>
      </c>
      <c r="I18" s="86">
        <v>10</v>
      </c>
      <c r="J18" s="54" t="e">
        <f t="shared" si="0"/>
        <v>#DIV/0!</v>
      </c>
      <c r="K18" s="162" t="e">
        <f>(J18-J19)</f>
        <v>#DIV/0!</v>
      </c>
      <c r="L18" s="71" t="e">
        <f>-2.5*LOG10(K18/(H18*I18))</f>
        <v>#DIV/0!</v>
      </c>
      <c r="M18" s="155"/>
      <c r="N18" s="67"/>
      <c r="O18" s="76"/>
    </row>
    <row r="19" spans="1:15" ht="15.75">
      <c r="A19" s="69"/>
      <c r="B19" s="16" t="s">
        <v>15</v>
      </c>
      <c r="C19" s="144">
        <f t="shared" si="1"/>
        <v>0</v>
      </c>
      <c r="D19" s="173"/>
      <c r="E19" s="174"/>
      <c r="F19" s="174"/>
      <c r="G19" s="135"/>
      <c r="H19" s="58">
        <v>10</v>
      </c>
      <c r="I19" s="86">
        <v>10</v>
      </c>
      <c r="J19" s="54" t="e">
        <f t="shared" si="0"/>
        <v>#DIV/0!</v>
      </c>
      <c r="K19" s="162"/>
      <c r="L19" s="71"/>
      <c r="M19" s="155"/>
      <c r="N19" s="67"/>
      <c r="O19" s="76"/>
    </row>
    <row r="20" spans="1:15" ht="15.75">
      <c r="A20" s="69"/>
      <c r="B20" s="16" t="s">
        <v>16</v>
      </c>
      <c r="C20" s="144">
        <f t="shared" si="1"/>
        <v>0</v>
      </c>
      <c r="D20" s="173"/>
      <c r="E20" s="174"/>
      <c r="F20" s="174"/>
      <c r="G20" s="135"/>
      <c r="H20" s="58">
        <v>10</v>
      </c>
      <c r="I20" s="86">
        <v>10</v>
      </c>
      <c r="J20" s="54" t="e">
        <f aca="true" t="shared" si="2" ref="J20:J27">AVERAGE(E20:G20)</f>
        <v>#DIV/0!</v>
      </c>
      <c r="K20" s="162" t="e">
        <f>(J20-J21)</f>
        <v>#DIV/0!</v>
      </c>
      <c r="L20" s="71" t="e">
        <f>-2.5*LOG10(K20/(H20*I20))</f>
        <v>#DIV/0!</v>
      </c>
      <c r="M20" s="155" t="e">
        <f>(L18+((L22-L18)/(D22-D18)*(D20-D18)))</f>
        <v>#DIV/0!</v>
      </c>
      <c r="N20" s="82" t="e">
        <f>L20-M20</f>
        <v>#DIV/0!</v>
      </c>
      <c r="O20" s="76"/>
    </row>
    <row r="21" spans="1:15" ht="15.75">
      <c r="A21" s="69"/>
      <c r="B21" s="16" t="s">
        <v>17</v>
      </c>
      <c r="C21" s="144">
        <f t="shared" si="1"/>
        <v>0</v>
      </c>
      <c r="D21" s="173"/>
      <c r="E21" s="174"/>
      <c r="F21" s="174"/>
      <c r="G21" s="135"/>
      <c r="H21" s="58">
        <v>10</v>
      </c>
      <c r="I21" s="86">
        <v>10</v>
      </c>
      <c r="J21" s="54" t="e">
        <f t="shared" si="2"/>
        <v>#DIV/0!</v>
      </c>
      <c r="K21" s="162"/>
      <c r="L21" s="71"/>
      <c r="M21" s="155"/>
      <c r="N21" s="67"/>
      <c r="O21" s="76"/>
    </row>
    <row r="22" spans="1:15" ht="15.75">
      <c r="A22" s="69"/>
      <c r="B22" s="16" t="s">
        <v>14</v>
      </c>
      <c r="C22" s="144">
        <f t="shared" si="1"/>
        <v>0</v>
      </c>
      <c r="D22" s="173"/>
      <c r="E22" s="174"/>
      <c r="F22" s="174"/>
      <c r="G22" s="135"/>
      <c r="H22" s="58">
        <v>10</v>
      </c>
      <c r="I22" s="86">
        <v>10</v>
      </c>
      <c r="J22" s="54" t="e">
        <f t="shared" si="2"/>
        <v>#DIV/0!</v>
      </c>
      <c r="K22" s="162" t="e">
        <f>(J22-J23)</f>
        <v>#DIV/0!</v>
      </c>
      <c r="L22" s="71" t="e">
        <f>-2.5*LOG10(K22/(H22*I22))</f>
        <v>#DIV/0!</v>
      </c>
      <c r="M22" s="155"/>
      <c r="N22" s="67"/>
      <c r="O22" s="76"/>
    </row>
    <row r="23" spans="1:15" ht="15.75">
      <c r="A23" s="69"/>
      <c r="B23" s="16" t="s">
        <v>15</v>
      </c>
      <c r="C23" s="144">
        <f t="shared" si="1"/>
        <v>0</v>
      </c>
      <c r="D23" s="173"/>
      <c r="E23" s="174"/>
      <c r="F23" s="174"/>
      <c r="G23" s="135"/>
      <c r="H23" s="58">
        <v>10</v>
      </c>
      <c r="I23" s="86">
        <v>10</v>
      </c>
      <c r="J23" s="54" t="e">
        <f t="shared" si="2"/>
        <v>#DIV/0!</v>
      </c>
      <c r="K23" s="162"/>
      <c r="L23" s="71"/>
      <c r="M23" s="155"/>
      <c r="N23" s="67"/>
      <c r="O23" s="76"/>
    </row>
    <row r="24" spans="1:15" ht="15.75">
      <c r="A24" s="69"/>
      <c r="B24" s="16" t="s">
        <v>18</v>
      </c>
      <c r="C24" s="144">
        <f t="shared" si="1"/>
        <v>0</v>
      </c>
      <c r="D24" s="173"/>
      <c r="E24" s="174"/>
      <c r="F24" s="174"/>
      <c r="G24" s="135"/>
      <c r="H24" s="58">
        <v>10</v>
      </c>
      <c r="I24" s="86">
        <v>10</v>
      </c>
      <c r="J24" s="54" t="e">
        <f t="shared" si="2"/>
        <v>#DIV/0!</v>
      </c>
      <c r="K24" s="162" t="e">
        <f>(J24-J25)</f>
        <v>#DIV/0!</v>
      </c>
      <c r="L24" s="71" t="e">
        <f>-2.5*LOG10(K24/(H24*I24))</f>
        <v>#DIV/0!</v>
      </c>
      <c r="M24" s="155" t="e">
        <f>(L22+((L26-L22)/(D26-D22)*(D24-D22)))</f>
        <v>#DIV/0!</v>
      </c>
      <c r="N24" s="82" t="e">
        <f>L24-M24</f>
        <v>#DIV/0!</v>
      </c>
      <c r="O24" s="76"/>
    </row>
    <row r="25" spans="1:15" ht="15.75">
      <c r="A25" s="69"/>
      <c r="B25" s="16" t="s">
        <v>19</v>
      </c>
      <c r="C25" s="144">
        <f t="shared" si="1"/>
        <v>0</v>
      </c>
      <c r="D25" s="173"/>
      <c r="E25" s="175"/>
      <c r="F25" s="174"/>
      <c r="G25" s="135"/>
      <c r="H25" s="58">
        <v>10</v>
      </c>
      <c r="I25" s="86">
        <v>10</v>
      </c>
      <c r="J25" s="54" t="e">
        <f t="shared" si="2"/>
        <v>#DIV/0!</v>
      </c>
      <c r="K25" s="162"/>
      <c r="L25" s="71"/>
      <c r="M25" s="155"/>
      <c r="N25" s="67"/>
      <c r="O25" s="76"/>
    </row>
    <row r="26" spans="1:15" ht="15.75">
      <c r="A26" s="69"/>
      <c r="B26" s="16" t="s">
        <v>14</v>
      </c>
      <c r="C26" s="144">
        <f t="shared" si="1"/>
        <v>0</v>
      </c>
      <c r="D26" s="173"/>
      <c r="E26" s="174"/>
      <c r="F26" s="174"/>
      <c r="G26" s="135"/>
      <c r="H26" s="58">
        <v>10</v>
      </c>
      <c r="I26" s="86">
        <v>10</v>
      </c>
      <c r="J26" s="54" t="e">
        <f t="shared" si="2"/>
        <v>#DIV/0!</v>
      </c>
      <c r="K26" s="162" t="e">
        <f>(J26-J27)</f>
        <v>#DIV/0!</v>
      </c>
      <c r="L26" s="71" t="e">
        <f>-2.5*LOG10(K26/(H26*I26))</f>
        <v>#DIV/0!</v>
      </c>
      <c r="M26" s="155"/>
      <c r="N26" s="67"/>
      <c r="O26" s="76"/>
    </row>
    <row r="27" spans="1:15" ht="15.75">
      <c r="A27" s="69"/>
      <c r="B27" s="18" t="s">
        <v>15</v>
      </c>
      <c r="C27" s="145">
        <f t="shared" si="1"/>
        <v>0</v>
      </c>
      <c r="D27" s="176"/>
      <c r="E27" s="177"/>
      <c r="F27" s="177"/>
      <c r="G27" s="177"/>
      <c r="H27" s="80">
        <v>10</v>
      </c>
      <c r="I27" s="87">
        <v>10</v>
      </c>
      <c r="J27" s="56" t="e">
        <f t="shared" si="2"/>
        <v>#DIV/0!</v>
      </c>
      <c r="K27" s="68"/>
      <c r="L27" s="68"/>
      <c r="M27" s="55"/>
      <c r="N27" s="77"/>
      <c r="O27" s="76"/>
    </row>
    <row r="28" spans="1:15" ht="13.5">
      <c r="A28" s="69"/>
      <c r="B28" s="1"/>
      <c r="C28" s="1"/>
      <c r="D28" s="2"/>
      <c r="E28" s="2"/>
      <c r="F28" s="2"/>
      <c r="G28" s="2"/>
      <c r="H28" s="3"/>
      <c r="I28" s="3"/>
      <c r="J28" s="35"/>
      <c r="K28" s="35"/>
      <c r="L28" s="69"/>
      <c r="M28" s="69"/>
      <c r="N28" s="69"/>
      <c r="O28" s="69"/>
    </row>
    <row r="29" spans="1:15" ht="13.5">
      <c r="A29" s="69"/>
      <c r="B29" s="2"/>
      <c r="C29" s="1" t="s">
        <v>38</v>
      </c>
      <c r="D29" s="1" t="s">
        <v>39</v>
      </c>
      <c r="E29" s="197"/>
      <c r="F29" s="197"/>
      <c r="G29" s="2"/>
      <c r="H29" s="9"/>
      <c r="I29" s="2" t="s">
        <v>1197</v>
      </c>
      <c r="J29" s="2"/>
      <c r="K29" s="9" t="e">
        <f>Calculations!AB10</f>
        <v>#DIV/0!</v>
      </c>
      <c r="L29" s="2"/>
      <c r="M29" s="2"/>
      <c r="N29" s="2"/>
      <c r="O29" s="69"/>
    </row>
    <row r="30" spans="1:15" ht="13.5">
      <c r="A30" s="69"/>
      <c r="B30" s="2"/>
      <c r="C30" s="1" t="s">
        <v>40</v>
      </c>
      <c r="D30" s="36" t="s">
        <v>1255</v>
      </c>
      <c r="E30" s="36"/>
      <c r="F30" s="69"/>
      <c r="G30" s="2"/>
      <c r="H30" s="9"/>
      <c r="I30" s="2" t="s">
        <v>33</v>
      </c>
      <c r="J30" s="3"/>
      <c r="K30" s="9" t="e">
        <f>_xlfn.STDEV.S(N12:N20)</f>
        <v>#DIV/0!</v>
      </c>
      <c r="L30" s="9"/>
      <c r="M30" s="9"/>
      <c r="N30" s="9"/>
      <c r="O30" s="69"/>
    </row>
    <row r="31" spans="1:15" ht="13.5">
      <c r="A31" s="69"/>
      <c r="B31" s="1" t="s">
        <v>42</v>
      </c>
      <c r="C31" s="19" t="e">
        <f>AVERAGE(Calculations!Q3,Calculations!Q5,Calculations!Q7)</f>
        <v>#N/A</v>
      </c>
      <c r="D31" s="88" t="e">
        <f>'Data Observer'!$B$17*C33</f>
        <v>#N/A</v>
      </c>
      <c r="E31" s="83"/>
      <c r="F31" s="69"/>
      <c r="G31" s="2"/>
      <c r="H31" s="9"/>
      <c r="I31" s="2" t="s">
        <v>34</v>
      </c>
      <c r="J31" s="3"/>
      <c r="K31" s="9" t="e">
        <f>K30/SQRT(3)</f>
        <v>#DIV/0!</v>
      </c>
      <c r="L31" s="4"/>
      <c r="M31" s="4"/>
      <c r="N31" s="4"/>
      <c r="O31" s="69"/>
    </row>
    <row r="32" spans="1:15" ht="13.5">
      <c r="A32" s="69"/>
      <c r="B32" s="1" t="s">
        <v>43</v>
      </c>
      <c r="C32" s="19" t="e">
        <f>AVERAGE(Calculations!Q2,Calculations!Q4,Calculations!Q6,Calculations!Q8)</f>
        <v>#N/A</v>
      </c>
      <c r="D32" s="2"/>
      <c r="E32" s="2"/>
      <c r="F32" s="9"/>
      <c r="G32" s="2"/>
      <c r="H32" s="2"/>
      <c r="I32" s="3"/>
      <c r="J32" s="4"/>
      <c r="K32" s="69"/>
      <c r="L32" s="69"/>
      <c r="M32" s="69"/>
      <c r="N32" s="69"/>
      <c r="O32" s="69"/>
    </row>
    <row r="33" spans="1:15" ht="13.5">
      <c r="A33" s="69"/>
      <c r="B33" s="1" t="s">
        <v>44</v>
      </c>
      <c r="C33" s="19" t="e">
        <f>C31-C32</f>
        <v>#N/A</v>
      </c>
      <c r="D33" s="2"/>
      <c r="E33" s="2"/>
      <c r="F33" s="9"/>
      <c r="G33" s="9"/>
      <c r="H33" s="9"/>
      <c r="I33" s="1" t="s">
        <v>18</v>
      </c>
      <c r="J33" s="2"/>
      <c r="K33" s="2"/>
      <c r="L33" s="9"/>
      <c r="M33" s="9"/>
      <c r="N33" s="9"/>
      <c r="O33" s="69"/>
    </row>
    <row r="34" spans="1:15" ht="13.5">
      <c r="A34" s="69"/>
      <c r="B34" s="1" t="s">
        <v>1201</v>
      </c>
      <c r="C34" s="19" t="e">
        <f>AVERAGE(C31:C32)</f>
        <v>#N/A</v>
      </c>
      <c r="D34" s="2"/>
      <c r="E34" s="2"/>
      <c r="F34" s="9"/>
      <c r="G34" s="9"/>
      <c r="H34" s="9"/>
      <c r="I34" s="2" t="s">
        <v>1197</v>
      </c>
      <c r="J34" s="2"/>
      <c r="K34" s="9" t="e">
        <f>Calculations!Y37</f>
        <v>#DIV/0!</v>
      </c>
      <c r="L34" s="9"/>
      <c r="M34" s="9"/>
      <c r="N34" s="9"/>
      <c r="O34" s="69"/>
    </row>
    <row r="35" spans="1:15" ht="13.5">
      <c r="A35" s="69"/>
      <c r="B35" s="2"/>
      <c r="C35" s="2"/>
      <c r="D35" s="2"/>
      <c r="E35" s="2"/>
      <c r="F35" s="9"/>
      <c r="G35" s="9"/>
      <c r="H35" s="9"/>
      <c r="I35" s="2"/>
      <c r="J35" s="2"/>
      <c r="K35" s="3"/>
      <c r="L35" s="9"/>
      <c r="M35" s="9"/>
      <c r="N35" s="9"/>
      <c r="O35" s="69"/>
    </row>
    <row r="36" spans="1:15" ht="13.5">
      <c r="A36" s="69"/>
      <c r="B36" s="197" t="s">
        <v>1230</v>
      </c>
      <c r="C36" s="197"/>
      <c r="D36" s="199" t="e">
        <f>(L10+L14+L18+L22+L26)/5</f>
        <v>#DIV/0!</v>
      </c>
      <c r="E36" s="199"/>
      <c r="F36" s="9"/>
      <c r="G36" s="9"/>
      <c r="H36" s="9"/>
      <c r="I36" s="4" t="s">
        <v>50</v>
      </c>
      <c r="J36" s="2"/>
      <c r="K36" s="19">
        <f>(Calculations!A3+Calculations!A5+Calculations!A7)/3</f>
        <v>2415018.5</v>
      </c>
      <c r="L36" s="4"/>
      <c r="M36" s="4"/>
      <c r="N36" s="4"/>
      <c r="O36" s="69"/>
    </row>
    <row r="37" spans="1:15" ht="13.5">
      <c r="A37" s="69"/>
      <c r="B37" s="197" t="s">
        <v>1231</v>
      </c>
      <c r="C37" s="197"/>
      <c r="D37" s="199" t="e">
        <f>(L12+L16+L20)/3</f>
        <v>#DIV/0!</v>
      </c>
      <c r="E37" s="199"/>
      <c r="F37" s="2"/>
      <c r="G37" s="2"/>
      <c r="H37" s="2"/>
      <c r="I37" s="2" t="s">
        <v>51</v>
      </c>
      <c r="J37" s="2"/>
      <c r="K37" s="19" t="e">
        <f>Calculations!W2</f>
        <v>#N/A</v>
      </c>
      <c r="L37" s="9"/>
      <c r="M37" s="9"/>
      <c r="N37" s="9"/>
      <c r="O37" s="69"/>
    </row>
    <row r="38" spans="1:15" ht="13.5">
      <c r="A38" s="69"/>
      <c r="B38" s="197" t="s">
        <v>1232</v>
      </c>
      <c r="C38" s="197"/>
      <c r="D38" s="199" t="e">
        <f>L24</f>
        <v>#DIV/0!</v>
      </c>
      <c r="E38" s="199"/>
      <c r="F38" s="9"/>
      <c r="G38" s="2"/>
      <c r="H38" s="2"/>
      <c r="I38" s="2"/>
      <c r="J38" s="4"/>
      <c r="K38" s="9"/>
      <c r="L38" s="69"/>
      <c r="M38" s="69"/>
      <c r="N38" s="69"/>
      <c r="O38" s="69"/>
    </row>
    <row r="39" spans="1:15" ht="13.5">
      <c r="A39" s="69"/>
      <c r="B39" s="1"/>
      <c r="C39" s="1"/>
      <c r="D39" s="2"/>
      <c r="E39" s="1"/>
      <c r="F39" s="1"/>
      <c r="G39" s="1"/>
      <c r="H39" s="1"/>
      <c r="I39" s="1"/>
      <c r="J39" s="2"/>
      <c r="K39" s="9"/>
      <c r="L39" s="69"/>
      <c r="M39" s="69"/>
      <c r="N39" s="69"/>
      <c r="O39" s="69"/>
    </row>
  </sheetData>
  <sheetProtection sheet="1" objects="1" scenarios="1" selectLockedCells="1"/>
  <mergeCells count="11">
    <mergeCell ref="G6:I6"/>
    <mergeCell ref="G7:I7"/>
    <mergeCell ref="B36:C36"/>
    <mergeCell ref="B37:C37"/>
    <mergeCell ref="F2:K2"/>
    <mergeCell ref="B38:C38"/>
    <mergeCell ref="D36:E36"/>
    <mergeCell ref="D37:E37"/>
    <mergeCell ref="D38:E38"/>
    <mergeCell ref="E29:F29"/>
    <mergeCell ref="G5:I5"/>
  </mergeCells>
  <printOptions/>
  <pageMargins left="0.7875" right="0.7875" top="1.025" bottom="1.025" header="0.7875" footer="0.7875"/>
  <pageSetup firstPageNumber="1" useFirstPageNumber="1" horizontalDpi="300" verticalDpi="300" orientation="portrait" paperSize="9"/>
  <headerFooter alignWithMargins="0">
    <oddHeader>&amp;C&amp;A</oddHeader>
    <oddFooter>&amp;CPagina &amp;P</oddFooter>
  </headerFooter>
  <legacyDrawing r:id="rId2"/>
</worksheet>
</file>

<file path=xl/worksheets/sheet3.xml><?xml version="1.0" encoding="utf-8"?>
<worksheet xmlns="http://schemas.openxmlformats.org/spreadsheetml/2006/main" xmlns:r="http://schemas.openxmlformats.org/officeDocument/2006/relationships">
  <dimension ref="A1:S39"/>
  <sheetViews>
    <sheetView zoomScale="125" zoomScaleNormal="125" zoomScalePageLayoutView="0" workbookViewId="0" topLeftCell="A1">
      <selection activeCell="D10" sqref="D10:G27"/>
    </sheetView>
  </sheetViews>
  <sheetFormatPr defaultColWidth="11.57421875" defaultRowHeight="12.75"/>
  <cols>
    <col min="1" max="1" width="3.00390625" style="6" customWidth="1"/>
    <col min="2" max="2" width="15.7109375" style="6" bestFit="1" customWidth="1"/>
    <col min="3" max="3" width="15.00390625" style="15" customWidth="1"/>
    <col min="4" max="7" width="15.00390625" style="6" customWidth="1"/>
    <col min="8" max="8" width="5.00390625" style="20" customWidth="1"/>
    <col min="9" max="9" width="5.00390625" style="21" customWidth="1"/>
    <col min="10" max="11" width="15.00390625" style="21" customWidth="1"/>
    <col min="12" max="13" width="15.00390625" style="5" customWidth="1"/>
    <col min="14" max="14" width="20.7109375" style="5" customWidth="1"/>
    <col min="15" max="16" width="11.421875" style="5" customWidth="1"/>
    <col min="17" max="16384" width="11.421875" style="6" customWidth="1"/>
  </cols>
  <sheetData>
    <row r="1" spans="1:17" ht="13.5">
      <c r="A1" s="69"/>
      <c r="B1" s="1"/>
      <c r="C1" s="1"/>
      <c r="D1" s="2"/>
      <c r="E1" s="2"/>
      <c r="F1" s="2"/>
      <c r="G1" s="2"/>
      <c r="H1" s="3"/>
      <c r="I1" s="4"/>
      <c r="J1" s="4"/>
      <c r="K1" s="4"/>
      <c r="L1" s="4"/>
      <c r="M1" s="4"/>
      <c r="N1" s="66"/>
      <c r="O1" s="66"/>
      <c r="Q1" s="5"/>
    </row>
    <row r="2" spans="1:15" ht="13.5">
      <c r="A2" s="69"/>
      <c r="B2" s="1" t="s">
        <v>1269</v>
      </c>
      <c r="C2" s="49">
        <f>'V-band Data Entry'!C2</f>
        <v>0</v>
      </c>
      <c r="D2" s="7"/>
      <c r="E2" s="8"/>
      <c r="F2" s="2"/>
      <c r="G2" s="7"/>
      <c r="H2" s="8"/>
      <c r="I2" s="2"/>
      <c r="J2" s="2"/>
      <c r="K2" s="2"/>
      <c r="L2" s="2"/>
      <c r="M2" s="2"/>
      <c r="N2" s="66"/>
      <c r="O2" s="66"/>
    </row>
    <row r="3" spans="1:15" ht="13.5">
      <c r="A3" s="69"/>
      <c r="B3" s="1"/>
      <c r="C3" s="2"/>
      <c r="D3" s="2"/>
      <c r="E3" s="2"/>
      <c r="F3" s="2"/>
      <c r="G3" s="3"/>
      <c r="H3" s="4"/>
      <c r="I3" s="2"/>
      <c r="J3" s="2"/>
      <c r="K3" s="2"/>
      <c r="L3" s="2"/>
      <c r="M3" s="2"/>
      <c r="N3" s="66"/>
      <c r="O3" s="66"/>
    </row>
    <row r="4" spans="1:15" ht="13.5">
      <c r="A4" s="69"/>
      <c r="B4" s="1" t="s">
        <v>7</v>
      </c>
      <c r="C4" s="2" t="s">
        <v>1199</v>
      </c>
      <c r="D4" s="2"/>
      <c r="E4" s="2"/>
      <c r="F4" s="2"/>
      <c r="G4" s="3"/>
      <c r="H4" s="4"/>
      <c r="I4" s="2"/>
      <c r="J4" s="4"/>
      <c r="K4" s="2"/>
      <c r="L4" s="2"/>
      <c r="M4" s="2"/>
      <c r="N4" s="66"/>
      <c r="O4" s="66"/>
    </row>
    <row r="5" spans="1:15" ht="13.5">
      <c r="A5" s="69"/>
      <c r="B5" s="1" t="s">
        <v>16</v>
      </c>
      <c r="C5" s="7">
        <f>'V-band Data Entry'!C5</f>
        <v>0</v>
      </c>
      <c r="D5" s="11" t="s">
        <v>22</v>
      </c>
      <c r="E5" s="40" t="e">
        <f>INDEX(starparm_2019Jun05!$D$1:$D$1998,MATCH(C5,starparm_2019Jun05!$A$1:$A$1998,))</f>
        <v>#N/A</v>
      </c>
      <c r="F5" s="11" t="s">
        <v>23</v>
      </c>
      <c r="G5" s="200" t="e">
        <f>INDEX(starparm_2019Jun05!$E$1:$E$1998,MATCH(C5,starparm_2019Jun05!$A$1:$A$1998,))</f>
        <v>#N/A</v>
      </c>
      <c r="H5" s="200"/>
      <c r="I5" s="200"/>
      <c r="J5" s="4"/>
      <c r="K5" s="2"/>
      <c r="L5" s="2"/>
      <c r="M5" s="2"/>
      <c r="N5" s="66"/>
      <c r="O5" s="66"/>
    </row>
    <row r="6" spans="1:15" ht="13.5">
      <c r="A6" s="69"/>
      <c r="B6" s="1" t="s">
        <v>14</v>
      </c>
      <c r="C6" s="11" t="e">
        <f>INDEX(starparm_2019Jun05!$I$1:$I$1998,MATCH(C5,starparm_2019Jun05!$A$1:$A$1998,))</f>
        <v>#N/A</v>
      </c>
      <c r="D6" s="11" t="s">
        <v>24</v>
      </c>
      <c r="E6" s="40" t="e">
        <f>INDEX(starparm_2019Jun05!$J$1:$J$1998,MATCH($C$5,starparm_2019Jun05!$A$1:$A$1998,))</f>
        <v>#N/A</v>
      </c>
      <c r="F6" s="11" t="s">
        <v>25</v>
      </c>
      <c r="G6" s="196" t="e">
        <f>INDEX(starparm_2019Jun05!$K$1:$K$1998,MATCH(C5,starparm_2019Jun05!$A$1:$A$1998,))</f>
        <v>#N/A</v>
      </c>
      <c r="H6" s="196"/>
      <c r="I6" s="196"/>
      <c r="J6" s="12" t="s">
        <v>47</v>
      </c>
      <c r="K6" s="2" t="e">
        <f>IF($C$4="V",INDEX(starparm_2019Jun05!$L$1:$L$1998,MATCH($C$5,starparm_2019Jun05!$A$1:$A$1998,)),INDEX(starparm_2019Jun05!$L$1:$L$1998,MATCH($C$5,starparm_2019Jun05!$A$1:$A$1998,))+INDEX(starparm_2019Jun05!$M$1:$M$1998,MATCH($C$5,starparm_2019Jun05!$A$1:$A$1998,)))</f>
        <v>#N/A</v>
      </c>
      <c r="L6" s="2"/>
      <c r="M6" s="2"/>
      <c r="N6" s="66"/>
      <c r="O6" s="66"/>
    </row>
    <row r="7" spans="1:15" ht="13.5">
      <c r="A7" s="69"/>
      <c r="B7" s="1" t="s">
        <v>18</v>
      </c>
      <c r="C7" s="11" t="e">
        <f>INDEX(starparm_2019Jun05!$N$1:$N$1998,MATCH(C5,starparm_2019Jun05!$A$1:$A$1998,))</f>
        <v>#N/A</v>
      </c>
      <c r="D7" s="11" t="s">
        <v>28</v>
      </c>
      <c r="E7" s="40" t="e">
        <f>INDEX(starparm_2019Jun05!$O$1:$O$1998,MATCH($C$5,starparm_2019Jun05!$A$1:$A$1998,))</f>
        <v>#N/A</v>
      </c>
      <c r="F7" s="11" t="s">
        <v>29</v>
      </c>
      <c r="G7" s="196" t="e">
        <f>INDEX(starparm_2019Jun05!$P$1:$P$1998,MATCH($C$5,starparm_2019Jun05!$A$1:$A$1998,))</f>
        <v>#N/A</v>
      </c>
      <c r="H7" s="196"/>
      <c r="I7" s="196"/>
      <c r="J7" s="12"/>
      <c r="K7" s="2"/>
      <c r="L7" s="2"/>
      <c r="M7" s="2"/>
      <c r="N7" s="66"/>
      <c r="O7" s="66"/>
    </row>
    <row r="8" spans="1:17" ht="13.5">
      <c r="A8" s="69"/>
      <c r="B8" s="1"/>
      <c r="C8" s="1"/>
      <c r="D8" s="2"/>
      <c r="E8" s="2"/>
      <c r="F8" s="2"/>
      <c r="G8" s="2"/>
      <c r="H8" s="2"/>
      <c r="I8" s="2"/>
      <c r="J8" s="4"/>
      <c r="K8" s="4"/>
      <c r="L8" s="4"/>
      <c r="M8" s="4"/>
      <c r="N8" s="66"/>
      <c r="O8" s="66"/>
      <c r="Q8" s="5"/>
    </row>
    <row r="9" spans="1:19" s="15" customFormat="1" ht="13.5">
      <c r="A9" s="78"/>
      <c r="B9" s="1"/>
      <c r="C9" s="142" t="s">
        <v>1276</v>
      </c>
      <c r="D9" s="22" t="s">
        <v>31</v>
      </c>
      <c r="E9" s="22" t="s">
        <v>9</v>
      </c>
      <c r="F9" s="22" t="s">
        <v>10</v>
      </c>
      <c r="G9" s="22" t="s">
        <v>11</v>
      </c>
      <c r="H9" s="23" t="s">
        <v>8</v>
      </c>
      <c r="I9" s="23" t="s">
        <v>1254</v>
      </c>
      <c r="J9" s="23" t="s">
        <v>12</v>
      </c>
      <c r="K9" s="24" t="s">
        <v>13</v>
      </c>
      <c r="L9" s="157" t="s">
        <v>1363</v>
      </c>
      <c r="M9" s="158" t="s">
        <v>1364</v>
      </c>
      <c r="N9" s="159" t="s">
        <v>1365</v>
      </c>
      <c r="O9" s="41"/>
      <c r="P9" s="14"/>
      <c r="Q9" s="14"/>
      <c r="R9" s="14"/>
      <c r="S9" s="14"/>
    </row>
    <row r="10" spans="1:19" ht="15.75">
      <c r="A10" s="69"/>
      <c r="B10" s="13" t="s">
        <v>14</v>
      </c>
      <c r="C10" s="143">
        <f>'V-band Data Entry'!C2</f>
        <v>0</v>
      </c>
      <c r="D10" s="170"/>
      <c r="E10" s="181"/>
      <c r="F10" s="181"/>
      <c r="G10" s="182"/>
      <c r="H10" s="79">
        <v>10</v>
      </c>
      <c r="I10" s="85">
        <v>10</v>
      </c>
      <c r="J10" s="141" t="e">
        <f aca="true" t="shared" si="0" ref="J10:J27">AVERAGE(E10:G10)</f>
        <v>#DIV/0!</v>
      </c>
      <c r="K10" s="161" t="e">
        <f>(J10-J11)</f>
        <v>#DIV/0!</v>
      </c>
      <c r="L10" s="54" t="e">
        <f>-2.5*LOG10(K10/(H10*I10))</f>
        <v>#DIV/0!</v>
      </c>
      <c r="M10" s="67"/>
      <c r="N10" s="67"/>
      <c r="O10" s="42"/>
      <c r="Q10" s="5"/>
      <c r="R10" s="5"/>
      <c r="S10" s="5"/>
    </row>
    <row r="11" spans="1:19" ht="15.75">
      <c r="A11" s="69"/>
      <c r="B11" s="16" t="s">
        <v>15</v>
      </c>
      <c r="C11" s="144">
        <f>C10</f>
        <v>0</v>
      </c>
      <c r="D11" s="173"/>
      <c r="E11" s="183"/>
      <c r="F11" s="183"/>
      <c r="G11" s="184"/>
      <c r="H11" s="58">
        <v>10</v>
      </c>
      <c r="I11" s="86">
        <v>10</v>
      </c>
      <c r="J11" s="54" t="e">
        <f t="shared" si="0"/>
        <v>#DIV/0!</v>
      </c>
      <c r="K11" s="162"/>
      <c r="L11" s="54"/>
      <c r="M11" s="67"/>
      <c r="N11" s="67"/>
      <c r="O11" s="42"/>
      <c r="Q11" s="5"/>
      <c r="R11" s="5"/>
      <c r="S11" s="5"/>
    </row>
    <row r="12" spans="1:19" ht="15.75">
      <c r="A12" s="69"/>
      <c r="B12" s="16" t="s">
        <v>16</v>
      </c>
      <c r="C12" s="144">
        <f aca="true" t="shared" si="1" ref="C12:C27">C11</f>
        <v>0</v>
      </c>
      <c r="D12" s="173"/>
      <c r="E12" s="183"/>
      <c r="F12" s="183"/>
      <c r="G12" s="184"/>
      <c r="H12" s="58">
        <v>10</v>
      </c>
      <c r="I12" s="86">
        <v>10</v>
      </c>
      <c r="J12" s="54" t="e">
        <f t="shared" si="0"/>
        <v>#DIV/0!</v>
      </c>
      <c r="K12" s="162" t="e">
        <f>(J12-J13)</f>
        <v>#DIV/0!</v>
      </c>
      <c r="L12" s="54" t="e">
        <f>-2.5*LOG10(K12/(H12*I12))</f>
        <v>#DIV/0!</v>
      </c>
      <c r="M12" s="67" t="e">
        <f>(L10+((L14-L10)/(D14-D10)*(D12-D10)))</f>
        <v>#DIV/0!</v>
      </c>
      <c r="N12" s="67" t="e">
        <f>L12-M12</f>
        <v>#DIV/0!</v>
      </c>
      <c r="O12" s="42"/>
      <c r="Q12" s="5"/>
      <c r="R12" s="5"/>
      <c r="S12" s="64"/>
    </row>
    <row r="13" spans="1:19" ht="15.75">
      <c r="A13" s="69"/>
      <c r="B13" s="16" t="s">
        <v>17</v>
      </c>
      <c r="C13" s="144">
        <f t="shared" si="1"/>
        <v>0</v>
      </c>
      <c r="D13" s="173"/>
      <c r="E13" s="183"/>
      <c r="F13" s="183"/>
      <c r="G13" s="184"/>
      <c r="H13" s="58">
        <v>10</v>
      </c>
      <c r="I13" s="86">
        <v>10</v>
      </c>
      <c r="J13" s="54" t="e">
        <f t="shared" si="0"/>
        <v>#DIV/0!</v>
      </c>
      <c r="K13" s="162"/>
      <c r="L13" s="63"/>
      <c r="M13" s="67"/>
      <c r="N13" s="67"/>
      <c r="O13" s="42"/>
      <c r="Q13" s="5"/>
      <c r="R13" s="5"/>
      <c r="S13" s="64"/>
    </row>
    <row r="14" spans="1:19" ht="15.75">
      <c r="A14" s="69"/>
      <c r="B14" s="16" t="s">
        <v>14</v>
      </c>
      <c r="C14" s="144">
        <f t="shared" si="1"/>
        <v>0</v>
      </c>
      <c r="D14" s="173"/>
      <c r="E14" s="183"/>
      <c r="F14" s="183"/>
      <c r="G14" s="184"/>
      <c r="H14" s="58">
        <v>10</v>
      </c>
      <c r="I14" s="86">
        <v>10</v>
      </c>
      <c r="J14" s="54" t="e">
        <f t="shared" si="0"/>
        <v>#DIV/0!</v>
      </c>
      <c r="K14" s="162" t="e">
        <f>(J14-J15)</f>
        <v>#DIV/0!</v>
      </c>
      <c r="L14" s="54" t="e">
        <f>-2.5*LOG10(K14/(H14*I14))</f>
        <v>#DIV/0!</v>
      </c>
      <c r="M14" s="67"/>
      <c r="N14" s="67"/>
      <c r="O14" s="42"/>
      <c r="Q14" s="5"/>
      <c r="R14" s="5"/>
      <c r="S14" s="64"/>
    </row>
    <row r="15" spans="1:19" ht="15.75">
      <c r="A15" s="69"/>
      <c r="B15" s="16" t="s">
        <v>15</v>
      </c>
      <c r="C15" s="144">
        <f t="shared" si="1"/>
        <v>0</v>
      </c>
      <c r="D15" s="173"/>
      <c r="E15" s="183"/>
      <c r="F15" s="183"/>
      <c r="G15" s="184"/>
      <c r="H15" s="58">
        <v>10</v>
      </c>
      <c r="I15" s="86">
        <v>10</v>
      </c>
      <c r="J15" s="54" t="e">
        <f t="shared" si="0"/>
        <v>#DIV/0!</v>
      </c>
      <c r="K15" s="162"/>
      <c r="L15" s="63"/>
      <c r="M15" s="67"/>
      <c r="N15" s="67"/>
      <c r="O15" s="42"/>
      <c r="Q15" s="5"/>
      <c r="R15" s="5"/>
      <c r="S15" s="64"/>
    </row>
    <row r="16" spans="1:19" ht="15.75">
      <c r="A16" s="69"/>
      <c r="B16" s="16" t="s">
        <v>16</v>
      </c>
      <c r="C16" s="144">
        <f t="shared" si="1"/>
        <v>0</v>
      </c>
      <c r="D16" s="173"/>
      <c r="E16" s="183"/>
      <c r="F16" s="183"/>
      <c r="G16" s="184"/>
      <c r="H16" s="58">
        <v>10</v>
      </c>
      <c r="I16" s="86">
        <v>10</v>
      </c>
      <c r="J16" s="54" t="e">
        <f t="shared" si="0"/>
        <v>#DIV/0!</v>
      </c>
      <c r="K16" s="162" t="e">
        <f>(J16-J17)</f>
        <v>#DIV/0!</v>
      </c>
      <c r="L16" s="54" t="e">
        <f>-2.5*LOG10(K16/(H16*I16))</f>
        <v>#DIV/0!</v>
      </c>
      <c r="M16" s="67" t="e">
        <f>(L14+((L18-L14)/(D18-D14)*(D16-D14)))</f>
        <v>#DIV/0!</v>
      </c>
      <c r="N16" s="67" t="e">
        <f>L16-M16</f>
        <v>#DIV/0!</v>
      </c>
      <c r="O16" s="42"/>
      <c r="Q16" s="5"/>
      <c r="R16" s="5"/>
      <c r="S16" s="64"/>
    </row>
    <row r="17" spans="1:19" ht="15.75">
      <c r="A17" s="69"/>
      <c r="B17" s="16" t="s">
        <v>17</v>
      </c>
      <c r="C17" s="144">
        <f t="shared" si="1"/>
        <v>0</v>
      </c>
      <c r="D17" s="173"/>
      <c r="E17" s="183"/>
      <c r="F17" s="183"/>
      <c r="G17" s="184"/>
      <c r="H17" s="58">
        <v>10</v>
      </c>
      <c r="I17" s="86">
        <v>10</v>
      </c>
      <c r="J17" s="54" t="e">
        <f t="shared" si="0"/>
        <v>#DIV/0!</v>
      </c>
      <c r="K17" s="162"/>
      <c r="L17" s="63"/>
      <c r="M17" s="67"/>
      <c r="N17" s="67"/>
      <c r="O17" s="42"/>
      <c r="Q17" s="5"/>
      <c r="R17" s="5"/>
      <c r="S17" s="64"/>
    </row>
    <row r="18" spans="1:19" ht="15.75">
      <c r="A18" s="69"/>
      <c r="B18" s="16" t="s">
        <v>14</v>
      </c>
      <c r="C18" s="144">
        <f t="shared" si="1"/>
        <v>0</v>
      </c>
      <c r="D18" s="173"/>
      <c r="E18" s="183"/>
      <c r="F18" s="183"/>
      <c r="G18" s="184"/>
      <c r="H18" s="58">
        <v>10</v>
      </c>
      <c r="I18" s="86">
        <v>10</v>
      </c>
      <c r="J18" s="54" t="e">
        <f t="shared" si="0"/>
        <v>#DIV/0!</v>
      </c>
      <c r="K18" s="162" t="e">
        <f>(J18-J19)</f>
        <v>#DIV/0!</v>
      </c>
      <c r="L18" s="54" t="e">
        <f>-2.5*LOG10(K18/(H18*I18))</f>
        <v>#DIV/0!</v>
      </c>
      <c r="M18" s="67"/>
      <c r="N18" s="67"/>
      <c r="O18" s="42"/>
      <c r="Q18" s="5"/>
      <c r="R18" s="5"/>
      <c r="S18" s="64"/>
    </row>
    <row r="19" spans="1:19" ht="15.75">
      <c r="A19" s="69"/>
      <c r="B19" s="16" t="s">
        <v>15</v>
      </c>
      <c r="C19" s="144">
        <f t="shared" si="1"/>
        <v>0</v>
      </c>
      <c r="D19" s="173"/>
      <c r="E19" s="183"/>
      <c r="F19" s="183"/>
      <c r="G19" s="184"/>
      <c r="H19" s="58">
        <v>10</v>
      </c>
      <c r="I19" s="86">
        <v>10</v>
      </c>
      <c r="J19" s="54" t="e">
        <f t="shared" si="0"/>
        <v>#DIV/0!</v>
      </c>
      <c r="K19" s="162"/>
      <c r="L19" s="63"/>
      <c r="M19" s="67"/>
      <c r="N19" s="67"/>
      <c r="O19" s="42"/>
      <c r="Q19" s="5"/>
      <c r="R19" s="5"/>
      <c r="S19" s="64"/>
    </row>
    <row r="20" spans="1:19" ht="15.75">
      <c r="A20" s="69"/>
      <c r="B20" s="16" t="s">
        <v>16</v>
      </c>
      <c r="C20" s="144">
        <f t="shared" si="1"/>
        <v>0</v>
      </c>
      <c r="D20" s="173"/>
      <c r="E20" s="183"/>
      <c r="F20" s="183"/>
      <c r="G20" s="184"/>
      <c r="H20" s="58">
        <v>10</v>
      </c>
      <c r="I20" s="86">
        <v>10</v>
      </c>
      <c r="J20" s="54" t="e">
        <f t="shared" si="0"/>
        <v>#DIV/0!</v>
      </c>
      <c r="K20" s="162" t="e">
        <f>(J20-J21)</f>
        <v>#DIV/0!</v>
      </c>
      <c r="L20" s="54" t="e">
        <f>-2.5*LOG10(K20/(H20*I20))</f>
        <v>#DIV/0!</v>
      </c>
      <c r="M20" s="67" t="e">
        <f>(L18+((L22-L18)/(D22-D18)*(D20-D18)))</f>
        <v>#DIV/0!</v>
      </c>
      <c r="N20" s="67" t="e">
        <f>L20-M20</f>
        <v>#DIV/0!</v>
      </c>
      <c r="O20" s="42"/>
      <c r="Q20" s="5"/>
      <c r="R20" s="5"/>
      <c r="S20" s="64"/>
    </row>
    <row r="21" spans="1:19" ht="15.75">
      <c r="A21" s="69"/>
      <c r="B21" s="16" t="s">
        <v>17</v>
      </c>
      <c r="C21" s="144">
        <f t="shared" si="1"/>
        <v>0</v>
      </c>
      <c r="D21" s="173"/>
      <c r="E21" s="183"/>
      <c r="F21" s="183"/>
      <c r="G21" s="184"/>
      <c r="H21" s="58">
        <v>10</v>
      </c>
      <c r="I21" s="86">
        <v>10</v>
      </c>
      <c r="J21" s="54" t="e">
        <f t="shared" si="0"/>
        <v>#DIV/0!</v>
      </c>
      <c r="K21" s="162"/>
      <c r="L21" s="63"/>
      <c r="M21" s="67"/>
      <c r="N21" s="67"/>
      <c r="O21" s="42"/>
      <c r="Q21" s="5"/>
      <c r="R21" s="5"/>
      <c r="S21" s="64"/>
    </row>
    <row r="22" spans="1:19" ht="15.75">
      <c r="A22" s="69"/>
      <c r="B22" s="16" t="s">
        <v>14</v>
      </c>
      <c r="C22" s="144">
        <f t="shared" si="1"/>
        <v>0</v>
      </c>
      <c r="D22" s="173"/>
      <c r="E22" s="183"/>
      <c r="F22" s="183"/>
      <c r="G22" s="184"/>
      <c r="H22" s="58">
        <v>10</v>
      </c>
      <c r="I22" s="86">
        <v>10</v>
      </c>
      <c r="J22" s="54" t="e">
        <f t="shared" si="0"/>
        <v>#DIV/0!</v>
      </c>
      <c r="K22" s="162" t="e">
        <f>(J22-J23)</f>
        <v>#DIV/0!</v>
      </c>
      <c r="L22" s="54" t="e">
        <f>-2.5*LOG10(K22/(H22*I22))</f>
        <v>#DIV/0!</v>
      </c>
      <c r="M22" s="67"/>
      <c r="N22" s="67"/>
      <c r="O22" s="42"/>
      <c r="Q22" s="5"/>
      <c r="R22" s="5"/>
      <c r="S22" s="64"/>
    </row>
    <row r="23" spans="1:19" ht="15.75">
      <c r="A23" s="69"/>
      <c r="B23" s="16" t="s">
        <v>15</v>
      </c>
      <c r="C23" s="144">
        <f t="shared" si="1"/>
        <v>0</v>
      </c>
      <c r="D23" s="173"/>
      <c r="E23" s="183"/>
      <c r="F23" s="183"/>
      <c r="G23" s="184"/>
      <c r="H23" s="58">
        <v>10</v>
      </c>
      <c r="I23" s="86">
        <v>10</v>
      </c>
      <c r="J23" s="54" t="e">
        <f t="shared" si="0"/>
        <v>#DIV/0!</v>
      </c>
      <c r="K23" s="162"/>
      <c r="L23" s="63"/>
      <c r="M23" s="67"/>
      <c r="N23" s="67"/>
      <c r="O23" s="42"/>
      <c r="Q23" s="5"/>
      <c r="R23" s="5"/>
      <c r="S23" s="64"/>
    </row>
    <row r="24" spans="1:19" ht="15.75">
      <c r="A24" s="69"/>
      <c r="B24" s="16" t="s">
        <v>18</v>
      </c>
      <c r="C24" s="144">
        <f t="shared" si="1"/>
        <v>0</v>
      </c>
      <c r="D24" s="173"/>
      <c r="E24" s="183"/>
      <c r="F24" s="183"/>
      <c r="G24" s="184"/>
      <c r="H24" s="58">
        <v>10</v>
      </c>
      <c r="I24" s="86">
        <v>10</v>
      </c>
      <c r="J24" s="54" t="e">
        <f t="shared" si="0"/>
        <v>#DIV/0!</v>
      </c>
      <c r="K24" s="162" t="e">
        <f>(J24-J25)</f>
        <v>#DIV/0!</v>
      </c>
      <c r="L24" s="54" t="e">
        <f>-2.5*LOG10(K24/(H24*I24))</f>
        <v>#DIV/0!</v>
      </c>
      <c r="M24" s="67" t="e">
        <f>(L22+((L26-L22)/(D26-D22)*(D24-D22)))</f>
        <v>#DIV/0!</v>
      </c>
      <c r="N24" s="67" t="e">
        <f>L24-M24</f>
        <v>#DIV/0!</v>
      </c>
      <c r="O24" s="42"/>
      <c r="Q24" s="5"/>
      <c r="R24" s="5"/>
      <c r="S24" s="64"/>
    </row>
    <row r="25" spans="1:19" ht="15.75">
      <c r="A25" s="69"/>
      <c r="B25" s="16" t="s">
        <v>19</v>
      </c>
      <c r="C25" s="144">
        <f t="shared" si="1"/>
        <v>0</v>
      </c>
      <c r="D25" s="173"/>
      <c r="E25" s="58"/>
      <c r="F25" s="183"/>
      <c r="G25" s="184"/>
      <c r="H25" s="58">
        <v>10</v>
      </c>
      <c r="I25" s="86">
        <v>10</v>
      </c>
      <c r="J25" s="54" t="e">
        <f t="shared" si="0"/>
        <v>#DIV/0!</v>
      </c>
      <c r="K25" s="162"/>
      <c r="L25" s="54"/>
      <c r="M25" s="67"/>
      <c r="N25" s="67"/>
      <c r="O25" s="42"/>
      <c r="Q25" s="5"/>
      <c r="R25" s="5"/>
      <c r="S25" s="5"/>
    </row>
    <row r="26" spans="1:19" ht="15.75">
      <c r="A26" s="69"/>
      <c r="B26" s="16" t="s">
        <v>14</v>
      </c>
      <c r="C26" s="144">
        <f t="shared" si="1"/>
        <v>0</v>
      </c>
      <c r="D26" s="173"/>
      <c r="E26" s="183"/>
      <c r="F26" s="183"/>
      <c r="G26" s="184"/>
      <c r="H26" s="58">
        <v>10</v>
      </c>
      <c r="I26" s="86">
        <v>10</v>
      </c>
      <c r="J26" s="54" t="e">
        <f t="shared" si="0"/>
        <v>#DIV/0!</v>
      </c>
      <c r="K26" s="162" t="e">
        <f>(J26-J27)</f>
        <v>#DIV/0!</v>
      </c>
      <c r="L26" s="54" t="e">
        <f>-2.5*LOG10(K26/(H26*I26))</f>
        <v>#DIV/0!</v>
      </c>
      <c r="M26" s="67"/>
      <c r="N26" s="67"/>
      <c r="O26" s="42"/>
      <c r="Q26" s="5"/>
      <c r="R26" s="17"/>
      <c r="S26" s="5"/>
    </row>
    <row r="27" spans="1:19" ht="15.75">
      <c r="A27" s="69"/>
      <c r="B27" s="18" t="s">
        <v>15</v>
      </c>
      <c r="C27" s="145">
        <f t="shared" si="1"/>
        <v>0</v>
      </c>
      <c r="D27" s="176"/>
      <c r="E27" s="185"/>
      <c r="F27" s="185"/>
      <c r="G27" s="185"/>
      <c r="H27" s="80">
        <v>10</v>
      </c>
      <c r="I27" s="87">
        <v>10</v>
      </c>
      <c r="J27" s="56" t="e">
        <f t="shared" si="0"/>
        <v>#DIV/0!</v>
      </c>
      <c r="K27" s="68"/>
      <c r="L27" s="56"/>
      <c r="M27" s="56"/>
      <c r="N27" s="57"/>
      <c r="O27" s="42"/>
      <c r="Q27" s="5"/>
      <c r="R27" s="5"/>
      <c r="S27" s="5"/>
    </row>
    <row r="28" spans="1:17" ht="13.5">
      <c r="A28" s="69"/>
      <c r="B28" s="1"/>
      <c r="C28" s="1"/>
      <c r="D28" s="2"/>
      <c r="E28" s="2"/>
      <c r="F28" s="2"/>
      <c r="G28" s="2"/>
      <c r="H28" s="3"/>
      <c r="I28" s="35"/>
      <c r="J28" s="35"/>
      <c r="K28" s="43"/>
      <c r="L28" s="43"/>
      <c r="M28" s="43"/>
      <c r="N28" s="66"/>
      <c r="O28" s="66"/>
      <c r="Q28" s="5"/>
    </row>
    <row r="29" spans="1:17" ht="13.5">
      <c r="A29" s="69"/>
      <c r="B29" s="2"/>
      <c r="C29" s="1" t="s">
        <v>38</v>
      </c>
      <c r="D29" s="1" t="s">
        <v>39</v>
      </c>
      <c r="E29" s="2"/>
      <c r="F29" s="2"/>
      <c r="G29" s="69"/>
      <c r="H29" s="2"/>
      <c r="I29" s="2" t="s">
        <v>1197</v>
      </c>
      <c r="J29" s="2"/>
      <c r="K29" s="9" t="e">
        <f>Calculations!AB23</f>
        <v>#DIV/0!</v>
      </c>
      <c r="L29" s="9"/>
      <c r="M29" s="9"/>
      <c r="N29" s="9"/>
      <c r="O29" s="44"/>
      <c r="Q29" s="5"/>
    </row>
    <row r="30" spans="1:17" ht="13.5">
      <c r="A30" s="69"/>
      <c r="B30" s="2"/>
      <c r="C30" s="1" t="s">
        <v>40</v>
      </c>
      <c r="D30" s="1" t="s">
        <v>41</v>
      </c>
      <c r="E30" s="2"/>
      <c r="F30" s="9"/>
      <c r="G30" s="69"/>
      <c r="H30" s="3"/>
      <c r="I30" s="2" t="s">
        <v>33</v>
      </c>
      <c r="J30" s="3"/>
      <c r="K30" s="9" t="e">
        <f>_xlfn.STDEV.S(N12:N20)</f>
        <v>#DIV/0!</v>
      </c>
      <c r="L30" s="9"/>
      <c r="M30" s="9"/>
      <c r="N30" s="9"/>
      <c r="O30" s="44"/>
      <c r="Q30" s="5"/>
    </row>
    <row r="31" spans="1:17" ht="13.5">
      <c r="A31" s="69"/>
      <c r="B31" s="1" t="s">
        <v>42</v>
      </c>
      <c r="C31" s="19" t="e">
        <f>AVERAGE(Calculations!Q20,Calculations!Q22,Calculations!Q24)</f>
        <v>#N/A</v>
      </c>
      <c r="D31" s="88" t="e">
        <f>'Data Observer'!$B$17*C33</f>
        <v>#N/A</v>
      </c>
      <c r="E31" s="2"/>
      <c r="F31" s="4"/>
      <c r="G31" s="69"/>
      <c r="H31" s="3"/>
      <c r="I31" s="2" t="s">
        <v>34</v>
      </c>
      <c r="J31" s="3"/>
      <c r="K31" s="9" t="e">
        <f>K30/SQRT(3)</f>
        <v>#DIV/0!</v>
      </c>
      <c r="L31" s="9"/>
      <c r="M31" s="9"/>
      <c r="N31" s="9"/>
      <c r="O31" s="44"/>
      <c r="Q31" s="5"/>
    </row>
    <row r="32" spans="1:17" ht="13.5">
      <c r="A32" s="69"/>
      <c r="B32" s="1" t="s">
        <v>43</v>
      </c>
      <c r="C32" s="19" t="e">
        <f>AVERAGE(Calculations!Q19,Calculations!Q21,Calculations!Q23,Calculations!Q25)</f>
        <v>#N/A</v>
      </c>
      <c r="D32" s="2"/>
      <c r="E32" s="2"/>
      <c r="F32" s="4"/>
      <c r="G32" s="69"/>
      <c r="H32" s="9"/>
      <c r="I32" s="2"/>
      <c r="J32" s="9"/>
      <c r="K32" s="9"/>
      <c r="L32" s="9"/>
      <c r="M32" s="9"/>
      <c r="N32" s="9"/>
      <c r="O32" s="44"/>
      <c r="Q32" s="5"/>
    </row>
    <row r="33" spans="1:17" ht="13.5">
      <c r="A33" s="69"/>
      <c r="B33" s="1" t="s">
        <v>44</v>
      </c>
      <c r="C33" s="19" t="e">
        <f>C31-C32</f>
        <v>#N/A</v>
      </c>
      <c r="D33" s="2"/>
      <c r="E33" s="2"/>
      <c r="F33" s="2"/>
      <c r="G33" s="69"/>
      <c r="H33" s="2"/>
      <c r="I33" s="1" t="s">
        <v>18</v>
      </c>
      <c r="J33" s="2"/>
      <c r="K33" s="2"/>
      <c r="L33" s="2"/>
      <c r="M33" s="2"/>
      <c r="N33" s="9"/>
      <c r="O33" s="44"/>
      <c r="Q33" s="5"/>
    </row>
    <row r="34" spans="1:17" ht="13.5">
      <c r="A34" s="69"/>
      <c r="B34" s="1" t="s">
        <v>1201</v>
      </c>
      <c r="C34" s="19" t="e">
        <f>AVERAGE(C31:C32)</f>
        <v>#N/A</v>
      </c>
      <c r="D34" s="2"/>
      <c r="E34" s="2"/>
      <c r="F34" s="9"/>
      <c r="G34" s="69"/>
      <c r="H34" s="2"/>
      <c r="I34" s="2" t="s">
        <v>1197</v>
      </c>
      <c r="J34" s="2"/>
      <c r="K34" s="9" t="e">
        <f>Calculations!Y41</f>
        <v>#DIV/0!</v>
      </c>
      <c r="L34" s="9"/>
      <c r="M34" s="9"/>
      <c r="N34" s="9"/>
      <c r="O34" s="44"/>
      <c r="Q34" s="5"/>
    </row>
    <row r="35" spans="1:17" ht="13.5">
      <c r="A35" s="69"/>
      <c r="B35" s="2"/>
      <c r="C35" s="2"/>
      <c r="D35" s="2"/>
      <c r="E35" s="2"/>
      <c r="F35" s="4"/>
      <c r="G35" s="69"/>
      <c r="H35" s="2"/>
      <c r="I35" s="2"/>
      <c r="J35" s="2"/>
      <c r="K35" s="3"/>
      <c r="L35" s="3"/>
      <c r="M35" s="3"/>
      <c r="N35" s="2"/>
      <c r="O35" s="44"/>
      <c r="Q35" s="5"/>
    </row>
    <row r="36" spans="1:17" ht="13.5">
      <c r="A36" s="69"/>
      <c r="B36" s="1" t="s">
        <v>1230</v>
      </c>
      <c r="C36" s="45"/>
      <c r="D36" s="9" t="e">
        <f>(L10+L14+L18+L22+L26)/5</f>
        <v>#DIV/0!</v>
      </c>
      <c r="E36" s="2"/>
      <c r="F36" s="4"/>
      <c r="G36" s="69"/>
      <c r="H36" s="2"/>
      <c r="I36" s="4" t="s">
        <v>50</v>
      </c>
      <c r="J36" s="2"/>
      <c r="K36" s="19">
        <f>(Calculations!A20+Calculations!A22+Calculations!A24)/3</f>
        <v>2415018.5</v>
      </c>
      <c r="L36" s="19"/>
      <c r="M36" s="19"/>
      <c r="N36" s="9"/>
      <c r="O36" s="4"/>
      <c r="Q36" s="5"/>
    </row>
    <row r="37" spans="1:17" ht="13.5">
      <c r="A37" s="69"/>
      <c r="B37" s="1" t="s">
        <v>1231</v>
      </c>
      <c r="C37" s="2"/>
      <c r="D37" s="9" t="e">
        <f>(L12+L16+L20)/3</f>
        <v>#DIV/0!</v>
      </c>
      <c r="E37" s="2"/>
      <c r="F37" s="2"/>
      <c r="G37" s="69"/>
      <c r="H37" s="2"/>
      <c r="I37" s="2" t="s">
        <v>51</v>
      </c>
      <c r="J37" s="2"/>
      <c r="K37" s="19" t="e">
        <f>Calculations!W19</f>
        <v>#N/A</v>
      </c>
      <c r="L37" s="19"/>
      <c r="M37" s="19"/>
      <c r="N37" s="4"/>
      <c r="O37" s="9"/>
      <c r="Q37" s="5"/>
    </row>
    <row r="38" spans="1:15" ht="13.5">
      <c r="A38" s="69"/>
      <c r="B38" s="1" t="s">
        <v>1232</v>
      </c>
      <c r="C38" s="2"/>
      <c r="D38" s="9" t="e">
        <f>L24</f>
        <v>#DIV/0!</v>
      </c>
      <c r="E38" s="2"/>
      <c r="F38" s="9"/>
      <c r="G38" s="2"/>
      <c r="H38" s="2"/>
      <c r="I38" s="4"/>
      <c r="J38" s="4"/>
      <c r="K38" s="9"/>
      <c r="L38" s="9"/>
      <c r="M38" s="9"/>
      <c r="N38" s="66"/>
      <c r="O38" s="66"/>
    </row>
    <row r="39" spans="1:17" ht="13.5">
      <c r="A39" s="69"/>
      <c r="B39" s="2"/>
      <c r="C39" s="1"/>
      <c r="D39" s="1"/>
      <c r="E39" s="2"/>
      <c r="F39" s="4"/>
      <c r="G39" s="2"/>
      <c r="H39" s="2"/>
      <c r="I39" s="4"/>
      <c r="J39" s="9"/>
      <c r="K39" s="9"/>
      <c r="L39" s="9"/>
      <c r="M39" s="9"/>
      <c r="N39" s="66"/>
      <c r="O39" s="66"/>
      <c r="Q39" s="5"/>
    </row>
  </sheetData>
  <sheetProtection sheet="1" objects="1" scenarios="1" selectLockedCells="1"/>
  <mergeCells count="3">
    <mergeCell ref="G5:I5"/>
    <mergeCell ref="G6:I6"/>
    <mergeCell ref="G7:I7"/>
  </mergeCells>
  <printOptions/>
  <pageMargins left="0.7875" right="0.7875" top="1.025" bottom="1.025" header="0.7875" footer="0.7875"/>
  <pageSetup firstPageNumber="1" useFirstPageNumber="1" horizontalDpi="300" verticalDpi="300" orientation="portrait" paperSize="9"/>
  <headerFooter alignWithMargins="0">
    <oddHeader>&amp;C&amp;A</oddHeader>
    <oddFooter>&amp;CPagina &amp;P</oddFooter>
  </headerFooter>
</worksheet>
</file>

<file path=xl/worksheets/sheet4.xml><?xml version="1.0" encoding="utf-8"?>
<worksheet xmlns="http://schemas.openxmlformats.org/spreadsheetml/2006/main" xmlns:r="http://schemas.openxmlformats.org/officeDocument/2006/relationships">
  <dimension ref="A1:AF44"/>
  <sheetViews>
    <sheetView zoomScale="120" zoomScaleNormal="120" zoomScalePageLayoutView="0" workbookViewId="0" topLeftCell="A1">
      <selection activeCell="S1" sqref="S1:U16384"/>
    </sheetView>
  </sheetViews>
  <sheetFormatPr defaultColWidth="11.421875" defaultRowHeight="12.75"/>
  <cols>
    <col min="1" max="1" width="12.8515625" style="97" customWidth="1"/>
    <col min="2" max="2" width="12.8515625" style="97" hidden="1" customWidth="1"/>
    <col min="3" max="3" width="8.28125" style="97" hidden="1" customWidth="1"/>
    <col min="4" max="4" width="11.00390625" style="97" hidden="1" customWidth="1"/>
    <col min="5" max="5" width="11.421875" style="97" hidden="1" customWidth="1"/>
    <col min="6" max="6" width="7.28125" style="97" hidden="1" customWidth="1"/>
    <col min="7" max="7" width="11.140625" style="97" hidden="1" customWidth="1"/>
    <col min="8" max="13" width="11.00390625" style="97" hidden="1" customWidth="1"/>
    <col min="14" max="14" width="7.8515625" style="102" customWidth="1"/>
    <col min="15" max="15" width="10.7109375" style="102" customWidth="1"/>
    <col min="16" max="16" width="9.8515625" style="102" customWidth="1"/>
    <col min="17" max="17" width="10.28125" style="102" customWidth="1"/>
    <col min="18" max="18" width="21.00390625" style="102" customWidth="1"/>
    <col min="19" max="20" width="10.8515625" style="97" hidden="1" customWidth="1"/>
    <col min="21" max="21" width="11.00390625" style="97" hidden="1" customWidth="1"/>
    <col min="22" max="22" width="11.00390625" style="97" customWidth="1"/>
    <col min="23" max="23" width="15.8515625" style="97" bestFit="1" customWidth="1"/>
    <col min="24" max="24" width="44.00390625" style="97" customWidth="1"/>
    <col min="25" max="25" width="10.8515625" style="99" customWidth="1"/>
    <col min="26" max="28" width="10.8515625" style="97" customWidth="1"/>
    <col min="29" max="29" width="11.8515625" style="97" customWidth="1"/>
    <col min="30" max="30" width="10.8515625" style="99" customWidth="1"/>
    <col min="31" max="16384" width="10.8515625" style="97" customWidth="1"/>
  </cols>
  <sheetData>
    <row r="1" spans="1:30" s="92" customFormat="1" ht="13.5">
      <c r="A1" s="90" t="s">
        <v>32</v>
      </c>
      <c r="B1" s="90" t="s">
        <v>1270</v>
      </c>
      <c r="C1" s="90" t="s">
        <v>1379</v>
      </c>
      <c r="D1" s="90" t="s">
        <v>1380</v>
      </c>
      <c r="E1" s="90" t="s">
        <v>1381</v>
      </c>
      <c r="F1" s="90" t="s">
        <v>1271</v>
      </c>
      <c r="G1" s="90" t="s">
        <v>1382</v>
      </c>
      <c r="H1" s="90" t="s">
        <v>1383</v>
      </c>
      <c r="I1" s="165" t="s">
        <v>1384</v>
      </c>
      <c r="J1" s="90" t="s">
        <v>1385</v>
      </c>
      <c r="K1" s="165" t="s">
        <v>1386</v>
      </c>
      <c r="L1" s="165" t="s">
        <v>1387</v>
      </c>
      <c r="M1" s="90" t="s">
        <v>1388</v>
      </c>
      <c r="N1" s="139" t="s">
        <v>49</v>
      </c>
      <c r="O1" s="139" t="s">
        <v>45</v>
      </c>
      <c r="P1" s="139" t="s">
        <v>46</v>
      </c>
      <c r="Q1" s="139" t="s">
        <v>20</v>
      </c>
      <c r="R1" s="139" t="s">
        <v>1261</v>
      </c>
      <c r="S1" s="90"/>
      <c r="T1" s="90" t="s">
        <v>1242</v>
      </c>
      <c r="U1" s="90"/>
      <c r="V1" s="90"/>
      <c r="W1" s="90" t="s">
        <v>1203</v>
      </c>
      <c r="X1" s="91" t="s">
        <v>1257</v>
      </c>
      <c r="Y1" s="90">
        <v>1</v>
      </c>
      <c r="Z1" s="90">
        <v>2</v>
      </c>
      <c r="AA1" s="90">
        <v>3</v>
      </c>
      <c r="AB1" s="90" t="s">
        <v>1359</v>
      </c>
      <c r="AD1" s="151"/>
    </row>
    <row r="2" spans="1:28" ht="13.5">
      <c r="A2" s="93">
        <f>IF('V-band Data Entry'!$D$10&gt;0.5,('V-band Data Entry'!$C$10+2415019)+((((HOUR('V-band Data Entry'!$D$10)*60)+MINUTE('V-band Data Entry'!$D$10))/1440+DAY('V-band Data Entry'!$C$10))-0.5)-DAY('V-band Data Entry'!$C$10),('V-band Data Entry'!$C$10+2415019)+((((HOUR('V-band Data Entry'!$D$10)*60)+MINUTE('V-band Data Entry'!$D$10))/1440+DAY('V-band Data Entry'!$C$10))-1.5)-DAY('V-band Data Entry'!$C$10)+1)</f>
        <v>2415018.5</v>
      </c>
      <c r="B2" s="93">
        <f>IF((A2-ROUNDDOWN(A2,0))&lt;0.5,ROUNDDOWN(A2,0)-0.5,ROUNDDOWN(A2,0)+0.5)</f>
        <v>2415018.5</v>
      </c>
      <c r="C2" s="93">
        <f>'V-band Data Entry'!D10*24</f>
        <v>0</v>
      </c>
      <c r="D2" s="93">
        <f>A2-2451545</f>
        <v>-36526.5</v>
      </c>
      <c r="E2" s="93">
        <f>B2-2451545</f>
        <v>-36526.5</v>
      </c>
      <c r="F2" s="93">
        <f>D2/36525</f>
        <v>-1.000041067761807</v>
      </c>
      <c r="G2" s="93">
        <f>6.697374558+(0.06570982441908*E2)+(1.00273790935*C2)+(0.000025862*F2*F2)</f>
        <v>-2393.4525012214017</v>
      </c>
      <c r="H2" s="93">
        <f>G2-24*(ROUNDDOWN(G2/24,0))</f>
        <v>-17.45250122140169</v>
      </c>
      <c r="I2" s="93">
        <f>125.04-0.052954*D2</f>
        <v>2059.264281</v>
      </c>
      <c r="J2" s="93">
        <f>280.47+0.98565*D2</f>
        <v>-35721.874725</v>
      </c>
      <c r="K2" s="93">
        <f>23.4393-0.0000004*D2</f>
        <v>23.4539106</v>
      </c>
      <c r="L2" s="93">
        <f>-0.000319*SIN(RADIANS(I2))-0.000024*SIN((RADIANS(2*J2)))</f>
        <v>0.0003201326153491532</v>
      </c>
      <c r="M2" s="93">
        <f>H2+L2*COS(RADIANS(K2))</f>
        <v>-17.4522075379714</v>
      </c>
      <c r="N2" s="93">
        <f>M2-'Data Observer'!$F$10/15</f>
        <v>-17.4522075379714</v>
      </c>
      <c r="O2" s="93" t="e">
        <f>DEGREES(ASIN((SIN(RADIANS('Data Observer'!$F$9))*SIN(RADIANS('V-band Data Entry'!$G$6)))+(COS(RADIANS('Data Observer'!$F$9))*COS(RADIANS('V-band Data Entry'!$G$6))*COS(RADIANS((N2-'V-band Data Entry'!$E$6)*15)))))</f>
        <v>#N/A</v>
      </c>
      <c r="P2" s="93" t="e">
        <f>1/SIN(RADIANS(O2))</f>
        <v>#N/A</v>
      </c>
      <c r="Q2" s="93" t="e">
        <f>P2-0.0018167*(P2-1)-0.002875*(P2-1)*(P2-1)-0.0008083*(P2-1)*(P2-1)*(P2-1)</f>
        <v>#N/A</v>
      </c>
      <c r="R2" s="93"/>
      <c r="S2" s="94"/>
      <c r="T2" s="94" t="s">
        <v>52</v>
      </c>
      <c r="U2" s="94">
        <f>4*ATAN(1)</f>
        <v>3.141592653589793</v>
      </c>
      <c r="V2" s="94"/>
      <c r="W2" s="93" t="e">
        <f>'V-band Data Entry'!$K$36+U16</f>
        <v>#N/A</v>
      </c>
      <c r="X2" s="95" t="s">
        <v>1368</v>
      </c>
      <c r="Y2" s="96" t="e">
        <f>('B-band Data Entry'!L12-'B-band Data Entry'!M12)-('V-band Data Entry'!L12-'V-band Data Entry'!M12)</f>
        <v>#DIV/0!</v>
      </c>
      <c r="Z2" s="96" t="e">
        <f>('B-band Data Entry'!L16-'B-band Data Entry'!M16)-('V-band Data Entry'!L16-'V-band Data Entry'!M16)</f>
        <v>#DIV/0!</v>
      </c>
      <c r="AA2" s="96" t="e">
        <f>('B-band Data Entry'!L20-'B-band Data Entry'!M20)-('V-band Data Entry'!L20-'V-band Data Entry'!M20)</f>
        <v>#DIV/0!</v>
      </c>
      <c r="AB2" s="90"/>
    </row>
    <row r="3" spans="1:28" ht="13.5">
      <c r="A3" s="93">
        <f>IF('V-band Data Entry'!$D$12&gt;0.5,('V-band Data Entry'!$C$12+2415019)+((((HOUR('V-band Data Entry'!$D$12)*60)+MINUTE('V-band Data Entry'!$D$12))/1440+DAY('V-band Data Entry'!$C$12))-0.5)-DAY('V-band Data Entry'!$C$12),('V-band Data Entry'!$C$12+2415019)+((((HOUR('V-band Data Entry'!$D$12)*60)+MINUTE('V-band Data Entry'!$D$12))/1440+DAY('V-band Data Entry'!$C$12))-1.5)-DAY('V-band Data Entry'!$C$12)+1)</f>
        <v>2415018.5</v>
      </c>
      <c r="B3" s="93">
        <f aca="true" t="shared" si="0" ref="B3:B10">IF((A3-ROUNDDOWN(A3,0))&lt;0.5,ROUNDDOWN(A3,0)-0.5,ROUNDDOWN(A3,0)+0.5)</f>
        <v>2415018.5</v>
      </c>
      <c r="C3" s="93">
        <f>'V-band Data Entry'!D12*24</f>
        <v>0</v>
      </c>
      <c r="D3" s="93">
        <f aca="true" t="shared" si="1" ref="D3:D27">A3-2451545</f>
        <v>-36526.5</v>
      </c>
      <c r="E3" s="93">
        <f aca="true" t="shared" si="2" ref="E3:E27">B3-2451545</f>
        <v>-36526.5</v>
      </c>
      <c r="F3" s="93">
        <f aca="true" t="shared" si="3" ref="F3:F10">(B3-2451545)/36525</f>
        <v>-1.000041067761807</v>
      </c>
      <c r="G3" s="93">
        <f aca="true" t="shared" si="4" ref="G3:G10">6.697374558+(2400.051336*F3)+(0.000025862*F3*F3)+(C3*1.0027379093)</f>
        <v>-2393.452500314467</v>
      </c>
      <c r="H3" s="93">
        <f aca="true" t="shared" si="5" ref="H3:H10">G3-24*(ROUNDDOWN(G3/24,0))</f>
        <v>-17.452500314467216</v>
      </c>
      <c r="I3" s="93">
        <f aca="true" t="shared" si="6" ref="I3:I27">125.04-0.052954*D3</f>
        <v>2059.264281</v>
      </c>
      <c r="J3" s="93">
        <f aca="true" t="shared" si="7" ref="J3:J27">280.47+0.98565*D3</f>
        <v>-35721.874725</v>
      </c>
      <c r="K3" s="93">
        <f aca="true" t="shared" si="8" ref="K3:K27">23.4393-0.0000004*D3</f>
        <v>23.4539106</v>
      </c>
      <c r="L3" s="93">
        <f aca="true" t="shared" si="9" ref="L3:L10">-0.000319*SIN(RADIANS(I3))-0.000024*SIN((RADIANS(2*J3)))</f>
        <v>0.0003201326153491532</v>
      </c>
      <c r="M3" s="93">
        <f aca="true" t="shared" si="10" ref="M3:M10">H3+L3*COS(RADIANS(K3))</f>
        <v>-17.452206631036926</v>
      </c>
      <c r="N3" s="93">
        <f>M3-'Data Observer'!$F$10/15</f>
        <v>-17.452206631036926</v>
      </c>
      <c r="O3" s="93" t="e">
        <f>DEGREES(ASIN(((SIN(RADIANS('Data Observer'!$F$9))*SIN(RADIANS('V-band Data Entry'!$G$5)))+(COS(RADIANS('Data Observer'!$F$9))*COS(RADIANS('V-band Data Entry'!$G$5))*COS(RADIANS((N3-'V-band Data Entry'!$E$5)*15))))))</f>
        <v>#N/A</v>
      </c>
      <c r="P3" s="93" t="e">
        <f aca="true" t="shared" si="11" ref="P3:P31">1/SIN(RADIANS(O3))</f>
        <v>#N/A</v>
      </c>
      <c r="Q3" s="93" t="e">
        <f aca="true" t="shared" si="12" ref="Q3:Q31">P3-0.0018167*(P3-1)-0.002875*(P3-1)*(P3-1)-0.0008083*(P3-1)*(P3-1)*(P3-1)</f>
        <v>#N/A</v>
      </c>
      <c r="R3" s="93" t="e">
        <f>Q13</f>
        <v>#N/A</v>
      </c>
      <c r="S3" s="94"/>
      <c r="T3" s="94" t="s">
        <v>53</v>
      </c>
      <c r="U3" s="94">
        <f>(23+27/60)*U2/180</f>
        <v>0.40927970959267024</v>
      </c>
      <c r="V3" s="94"/>
      <c r="W3" s="94"/>
      <c r="X3" s="95" t="s">
        <v>1373</v>
      </c>
      <c r="Y3" s="96" t="e">
        <f>('B-band Data Entry'!L12-'B-band Data Entry'!M12)-'Data Observer'!$B$18*(Calculations!Q20-Calculations!R20)-'Data Observer'!$B$19*AVERAGE(Calculations!Q20:R20)*Calculations!Y2</f>
        <v>#DIV/0!</v>
      </c>
      <c r="Z3" s="96" t="e">
        <f>('B-band Data Entry'!L16-'B-band Data Entry'!M16)-'Data Observer'!$B$18*(Calculations!Q22-Calculations!R22)-'Data Observer'!$B$19*AVERAGE(Calculations!Q22:R22)*Calculations!Z2</f>
        <v>#DIV/0!</v>
      </c>
      <c r="AA3" s="96" t="e">
        <f>('B-band Data Entry'!L20-'B-band Data Entry'!M20)-'Data Observer'!$B$18*(Calculations!Q24-Calculations!R24)-'Data Observer'!$B$19*AVERAGE(Calculations!Q24:R24)*Calculations!AA2</f>
        <v>#DIV/0!</v>
      </c>
      <c r="AB3" s="90"/>
    </row>
    <row r="4" spans="1:28" ht="13.5">
      <c r="A4" s="93">
        <f>IF('V-band Data Entry'!$D$14&gt;0.5,('V-band Data Entry'!$C$14+2415019)+((((HOUR('V-band Data Entry'!$D$14)*60)+MINUTE('V-band Data Entry'!$D$14))/1440+DAY('V-band Data Entry'!$C$14))-0.5)-DAY('V-band Data Entry'!$C$14),('V-band Data Entry'!$C$14+2415019)+((((HOUR('V-band Data Entry'!$D$14)*60)+MINUTE('V-band Data Entry'!$D$14))/1440+DAY('V-band Data Entry'!$C$14))-1.5)-DAY('V-band Data Entry'!$C$14)+1)</f>
        <v>2415018.5</v>
      </c>
      <c r="B4" s="93">
        <f t="shared" si="0"/>
        <v>2415018.5</v>
      </c>
      <c r="C4" s="93">
        <f>'V-band Data Entry'!D14*24</f>
        <v>0</v>
      </c>
      <c r="D4" s="93">
        <f t="shared" si="1"/>
        <v>-36526.5</v>
      </c>
      <c r="E4" s="93">
        <f t="shared" si="2"/>
        <v>-36526.5</v>
      </c>
      <c r="F4" s="93">
        <f t="shared" si="3"/>
        <v>-1.000041067761807</v>
      </c>
      <c r="G4" s="93">
        <f t="shared" si="4"/>
        <v>-2393.452500314467</v>
      </c>
      <c r="H4" s="93">
        <f t="shared" si="5"/>
        <v>-17.452500314467216</v>
      </c>
      <c r="I4" s="93">
        <f t="shared" si="6"/>
        <v>2059.264281</v>
      </c>
      <c r="J4" s="93">
        <f t="shared" si="7"/>
        <v>-35721.874725</v>
      </c>
      <c r="K4" s="93">
        <f t="shared" si="8"/>
        <v>23.4539106</v>
      </c>
      <c r="L4" s="93">
        <f t="shared" si="9"/>
        <v>0.0003201326153491532</v>
      </c>
      <c r="M4" s="93">
        <f t="shared" si="10"/>
        <v>-17.452206631036926</v>
      </c>
      <c r="N4" s="93">
        <f>M4-'Data Observer'!$F$10/15</f>
        <v>-17.452206631036926</v>
      </c>
      <c r="O4" s="93" t="e">
        <f>DEGREES(ASIN((SIN(RADIANS('Data Observer'!$F$9))*SIN(RADIANS('V-band Data Entry'!$G$6)))+(COS(RADIANS('Data Observer'!$F$9))*COS(RADIANS('V-band Data Entry'!$G$6))*COS(RADIANS((N4-'V-band Data Entry'!$E$6)*15)))))</f>
        <v>#N/A</v>
      </c>
      <c r="P4" s="93" t="e">
        <f t="shared" si="11"/>
        <v>#N/A</v>
      </c>
      <c r="Q4" s="93" t="e">
        <f t="shared" si="12"/>
        <v>#N/A</v>
      </c>
      <c r="R4" s="93"/>
      <c r="S4" s="94"/>
      <c r="T4" s="94" t="s">
        <v>54</v>
      </c>
      <c r="U4" s="94">
        <f>('V-band Data Entry'!$K$36+2450000-2415020)/36525</f>
        <v>67.07730321697467</v>
      </c>
      <c r="V4" s="94"/>
      <c r="W4" s="94"/>
      <c r="X4" s="95" t="s">
        <v>1372</v>
      </c>
      <c r="Y4" s="152" t="e">
        <f>('V-band Data Entry'!L12-'V-band Data Entry'!M12)-'Data Observer'!$B$17*(Calculations!Q3-Calculations!R3)</f>
        <v>#DIV/0!</v>
      </c>
      <c r="Z4" s="152" t="e">
        <f>('V-band Data Entry'!L16-'V-band Data Entry'!M16)-'Data Observer'!$B$17*(Calculations!Q5-Calculations!R5)</f>
        <v>#DIV/0!</v>
      </c>
      <c r="AA4" s="152" t="e">
        <f>('V-band Data Entry'!L20-'V-band Data Entry'!M20)-'Data Observer'!$B$17*(Calculations!Q7-Calculations!R7)</f>
        <v>#DIV/0!</v>
      </c>
      <c r="AB4" s="90"/>
    </row>
    <row r="5" spans="1:32" ht="13.5">
      <c r="A5" s="93">
        <f>IF('V-band Data Entry'!$D$16&gt;0.5,('V-band Data Entry'!$C$16+2415019)+((((HOUR('V-band Data Entry'!$D$16)*60)+MINUTE('V-band Data Entry'!$D$16))/1440+DAY('V-band Data Entry'!$C$16))-0.5)-DAY('V-band Data Entry'!$C$16),('V-band Data Entry'!$C$16+2415019)+((((HOUR('V-band Data Entry'!$D$16)*60)+MINUTE('V-band Data Entry'!$D$16))/1440+DAY('V-band Data Entry'!$C$16))-1.5)-DAY('V-band Data Entry'!$C$16)+1)</f>
        <v>2415018.5</v>
      </c>
      <c r="B5" s="93">
        <f t="shared" si="0"/>
        <v>2415018.5</v>
      </c>
      <c r="C5" s="93">
        <f>'V-band Data Entry'!D16*24</f>
        <v>0</v>
      </c>
      <c r="D5" s="93">
        <f t="shared" si="1"/>
        <v>-36526.5</v>
      </c>
      <c r="E5" s="93">
        <f t="shared" si="2"/>
        <v>-36526.5</v>
      </c>
      <c r="F5" s="93">
        <f t="shared" si="3"/>
        <v>-1.000041067761807</v>
      </c>
      <c r="G5" s="93">
        <f t="shared" si="4"/>
        <v>-2393.452500314467</v>
      </c>
      <c r="H5" s="93">
        <f t="shared" si="5"/>
        <v>-17.452500314467216</v>
      </c>
      <c r="I5" s="93">
        <f t="shared" si="6"/>
        <v>2059.264281</v>
      </c>
      <c r="J5" s="93">
        <f t="shared" si="7"/>
        <v>-35721.874725</v>
      </c>
      <c r="K5" s="93">
        <f t="shared" si="8"/>
        <v>23.4539106</v>
      </c>
      <c r="L5" s="93">
        <f t="shared" si="9"/>
        <v>0.0003201326153491532</v>
      </c>
      <c r="M5" s="93">
        <f t="shared" si="10"/>
        <v>-17.452206631036926</v>
      </c>
      <c r="N5" s="93">
        <f>M5-'Data Observer'!$F$10/15</f>
        <v>-17.452206631036926</v>
      </c>
      <c r="O5" s="93" t="e">
        <f>DEGREES(ASIN(((SIN(RADIANS('Data Observer'!$F$9))*SIN(RADIANS('V-band Data Entry'!$G$5)))+(COS(RADIANS('Data Observer'!$F$9))*COS(RADIANS('V-band Data Entry'!$G$5))*COS(RADIANS((N5-'V-band Data Entry'!$E$5)*15))))))</f>
        <v>#N/A</v>
      </c>
      <c r="P5" s="93" t="e">
        <f t="shared" si="11"/>
        <v>#N/A</v>
      </c>
      <c r="Q5" s="93" t="e">
        <f t="shared" si="12"/>
        <v>#N/A</v>
      </c>
      <c r="R5" s="93" t="e">
        <f>Q14</f>
        <v>#N/A</v>
      </c>
      <c r="S5" s="94"/>
      <c r="T5" s="94" t="s">
        <v>55</v>
      </c>
      <c r="U5" s="94">
        <f>(1.39604+0.000308*(U4+0.5))*(U4-0.499998)</f>
        <v>94.33030851564641</v>
      </c>
      <c r="V5" s="94"/>
      <c r="W5" s="94"/>
      <c r="X5" s="95" t="s">
        <v>1374</v>
      </c>
      <c r="Y5" s="96" t="e">
        <f>Y3-Y4</f>
        <v>#DIV/0!</v>
      </c>
      <c r="Z5" s="96" t="e">
        <f>Z3-Z4</f>
        <v>#DIV/0!</v>
      </c>
      <c r="AA5" s="96" t="e">
        <f>AA3-AA4</f>
        <v>#DIV/0!</v>
      </c>
      <c r="AB5" s="90"/>
      <c r="AE5" s="99"/>
      <c r="AF5" s="99"/>
    </row>
    <row r="6" spans="1:28" ht="13.5">
      <c r="A6" s="93">
        <f>IF('V-band Data Entry'!$D$18&gt;0.5,('V-band Data Entry'!$C$18+2415019)+((((HOUR('V-band Data Entry'!$D$18)*60)+MINUTE('V-band Data Entry'!$D$18))/1440+DAY('V-band Data Entry'!$C$18))-0.5)-DAY('V-band Data Entry'!$C$18),('V-band Data Entry'!$C$18+2415019)+((((HOUR('V-band Data Entry'!$D$18)*60)+MINUTE('V-band Data Entry'!$D$18))/1440+DAY('V-band Data Entry'!$C$18))-1.5)-DAY('V-band Data Entry'!$C$18)+1)</f>
        <v>2415018.5</v>
      </c>
      <c r="B6" s="93">
        <f t="shared" si="0"/>
        <v>2415018.5</v>
      </c>
      <c r="C6" s="93">
        <f>'V-band Data Entry'!D18*24</f>
        <v>0</v>
      </c>
      <c r="D6" s="93">
        <f t="shared" si="1"/>
        <v>-36526.5</v>
      </c>
      <c r="E6" s="93">
        <f t="shared" si="2"/>
        <v>-36526.5</v>
      </c>
      <c r="F6" s="93">
        <f t="shared" si="3"/>
        <v>-1.000041067761807</v>
      </c>
      <c r="G6" s="93">
        <f t="shared" si="4"/>
        <v>-2393.452500314467</v>
      </c>
      <c r="H6" s="93">
        <f t="shared" si="5"/>
        <v>-17.452500314467216</v>
      </c>
      <c r="I6" s="93">
        <f t="shared" si="6"/>
        <v>2059.264281</v>
      </c>
      <c r="J6" s="93">
        <f t="shared" si="7"/>
        <v>-35721.874725</v>
      </c>
      <c r="K6" s="93">
        <f t="shared" si="8"/>
        <v>23.4539106</v>
      </c>
      <c r="L6" s="93">
        <f t="shared" si="9"/>
        <v>0.0003201326153491532</v>
      </c>
      <c r="M6" s="93">
        <f t="shared" si="10"/>
        <v>-17.452206631036926</v>
      </c>
      <c r="N6" s="93">
        <f>M6-'Data Observer'!$F$10/15</f>
        <v>-17.452206631036926</v>
      </c>
      <c r="O6" s="93" t="e">
        <f>DEGREES(ASIN((SIN(RADIANS('Data Observer'!$F$9))*SIN(RADIANS('V-band Data Entry'!$G$6)))+(COS(RADIANS('Data Observer'!$F$9))*COS(RADIANS('V-band Data Entry'!$G$6))*COS(RADIANS((N6-'V-band Data Entry'!$E$6)*15)))))</f>
        <v>#N/A</v>
      </c>
      <c r="P6" s="93" t="e">
        <f t="shared" si="11"/>
        <v>#N/A</v>
      </c>
      <c r="Q6" s="93" t="e">
        <f t="shared" si="12"/>
        <v>#N/A</v>
      </c>
      <c r="R6" s="93"/>
      <c r="S6" s="94"/>
      <c r="T6" s="94" t="s">
        <v>56</v>
      </c>
      <c r="U6" s="94">
        <f>(0.000303*U4+36000.76892)*U4+279.696678-U5</f>
        <v>2415021.2225680384</v>
      </c>
      <c r="V6" s="94"/>
      <c r="W6" s="94"/>
      <c r="X6" s="98" t="s">
        <v>1371</v>
      </c>
      <c r="Y6" s="96" t="e">
        <f>(1/(1-'Data Observer'!$B$16+'Data Observer'!$B$15))*Y5</f>
        <v>#DIV/0!</v>
      </c>
      <c r="Z6" s="96" t="e">
        <f>(1/(1-'Data Observer'!$B$16+'Data Observer'!$B$15))*Z5</f>
        <v>#DIV/0!</v>
      </c>
      <c r="AA6" s="96" t="e">
        <f>(1/(1-'Data Observer'!$B$16+'Data Observer'!$B$15))*AA5</f>
        <v>#DIV/0!</v>
      </c>
      <c r="AB6" s="152" t="e">
        <f>AVERAGE(Y6:AA6)</f>
        <v>#DIV/0!</v>
      </c>
    </row>
    <row r="7" spans="1:28" ht="13.5">
      <c r="A7" s="93">
        <f>IF('V-band Data Entry'!$D$20&gt;0.5,('V-band Data Entry'!$C$20+2415019)+((((HOUR('V-band Data Entry'!$D$20)*60)+MINUTE('V-band Data Entry'!$D$20))/1440+DAY('V-band Data Entry'!$C$20))-0.5)-DAY('V-band Data Entry'!$C$20),('V-band Data Entry'!$C$20+2415019)+((((HOUR('V-band Data Entry'!$D$20)*60)+MINUTE('V-band Data Entry'!$D$20))/1440+DAY('V-band Data Entry'!$C$20))-1.5)-DAY('V-band Data Entry'!$C$20)+1)</f>
        <v>2415018.5</v>
      </c>
      <c r="B7" s="93">
        <f t="shared" si="0"/>
        <v>2415018.5</v>
      </c>
      <c r="C7" s="93">
        <f>'V-band Data Entry'!D20*24</f>
        <v>0</v>
      </c>
      <c r="D7" s="93">
        <f t="shared" si="1"/>
        <v>-36526.5</v>
      </c>
      <c r="E7" s="93">
        <f t="shared" si="2"/>
        <v>-36526.5</v>
      </c>
      <c r="F7" s="93">
        <f t="shared" si="3"/>
        <v>-1.000041067761807</v>
      </c>
      <c r="G7" s="93">
        <f t="shared" si="4"/>
        <v>-2393.452500314467</v>
      </c>
      <c r="H7" s="93">
        <f t="shared" si="5"/>
        <v>-17.452500314467216</v>
      </c>
      <c r="I7" s="93">
        <f t="shared" si="6"/>
        <v>2059.264281</v>
      </c>
      <c r="J7" s="93">
        <f t="shared" si="7"/>
        <v>-35721.874725</v>
      </c>
      <c r="K7" s="93">
        <f t="shared" si="8"/>
        <v>23.4539106</v>
      </c>
      <c r="L7" s="93">
        <f t="shared" si="9"/>
        <v>0.0003201326153491532</v>
      </c>
      <c r="M7" s="93">
        <f t="shared" si="10"/>
        <v>-17.452206631036926</v>
      </c>
      <c r="N7" s="93">
        <f>M7-'Data Observer'!$F$10/15</f>
        <v>-17.452206631036926</v>
      </c>
      <c r="O7" s="93" t="e">
        <f>DEGREES(ASIN(((SIN(RADIANS('Data Observer'!$F$9))*SIN(RADIANS('V-band Data Entry'!$G$5)))+(COS(RADIANS('Data Observer'!$F$9))*COS(RADIANS('V-band Data Entry'!$G$5))*COS(RADIANS((N7-'V-band Data Entry'!$E$5)*15))))))</f>
        <v>#N/A</v>
      </c>
      <c r="P7" s="93" t="e">
        <f t="shared" si="11"/>
        <v>#N/A</v>
      </c>
      <c r="Q7" s="93" t="e">
        <f t="shared" si="12"/>
        <v>#N/A</v>
      </c>
      <c r="R7" s="93" t="e">
        <f>Q15</f>
        <v>#N/A</v>
      </c>
      <c r="S7" s="94"/>
      <c r="T7" s="94" t="s">
        <v>57</v>
      </c>
      <c r="U7" s="94">
        <f>(-0.00015*U4+35999.04975)*U4+358.475833</f>
        <v>2415076.9765320155</v>
      </c>
      <c r="V7" s="94"/>
      <c r="W7" s="94"/>
      <c r="X7" s="98" t="s">
        <v>1369</v>
      </c>
      <c r="Y7" s="96" t="e">
        <f>'V-band Data Entry'!$N$12</f>
        <v>#DIV/0!</v>
      </c>
      <c r="Z7" s="96" t="e">
        <f>'V-band Data Entry'!$N$16</f>
        <v>#DIV/0!</v>
      </c>
      <c r="AA7" s="96" t="e">
        <f>'V-band Data Entry'!$N$20</f>
        <v>#DIV/0!</v>
      </c>
      <c r="AB7" s="94"/>
    </row>
    <row r="8" spans="1:30" ht="13.5">
      <c r="A8" s="93">
        <f>IF('V-band Data Entry'!$D$22&gt;0.5,('V-band Data Entry'!$C$22+2415019)+((((HOUR('V-band Data Entry'!$D$22)*60)+MINUTE('V-band Data Entry'!$D$22))/1440+DAY('V-band Data Entry'!$C$22))-0.5)-DAY('V-band Data Entry'!$C$22),('V-band Data Entry'!$C$22+2415019)+((((HOUR('V-band Data Entry'!$D$22)*60)+MINUTE('V-band Data Entry'!$D$22))/1440+DAY('V-band Data Entry'!$C$22))-1.5)-DAY('V-band Data Entry'!$C$22)+1)</f>
        <v>2415018.5</v>
      </c>
      <c r="B8" s="93">
        <f t="shared" si="0"/>
        <v>2415018.5</v>
      </c>
      <c r="C8" s="93">
        <f>'V-band Data Entry'!D22*24</f>
        <v>0</v>
      </c>
      <c r="D8" s="93">
        <f t="shared" si="1"/>
        <v>-36526.5</v>
      </c>
      <c r="E8" s="93">
        <f t="shared" si="2"/>
        <v>-36526.5</v>
      </c>
      <c r="F8" s="93">
        <f t="shared" si="3"/>
        <v>-1.000041067761807</v>
      </c>
      <c r="G8" s="93">
        <f t="shared" si="4"/>
        <v>-2393.452500314467</v>
      </c>
      <c r="H8" s="93">
        <f t="shared" si="5"/>
        <v>-17.452500314467216</v>
      </c>
      <c r="I8" s="93">
        <f t="shared" si="6"/>
        <v>2059.264281</v>
      </c>
      <c r="J8" s="93">
        <f t="shared" si="7"/>
        <v>-35721.874725</v>
      </c>
      <c r="K8" s="93">
        <f t="shared" si="8"/>
        <v>23.4539106</v>
      </c>
      <c r="L8" s="93">
        <f t="shared" si="9"/>
        <v>0.0003201326153491532</v>
      </c>
      <c r="M8" s="93">
        <f t="shared" si="10"/>
        <v>-17.452206631036926</v>
      </c>
      <c r="N8" s="93">
        <f>M8-'Data Observer'!$F$10/15</f>
        <v>-17.452206631036926</v>
      </c>
      <c r="O8" s="93" t="e">
        <f>DEGREES(ASIN((SIN(RADIANS('Data Observer'!$F$9))*SIN(RADIANS('V-band Data Entry'!$G$6)))+(COS(RADIANS('Data Observer'!$F$9))*COS(RADIANS('V-band Data Entry'!$G$6))*COS(RADIANS((N8-'V-band Data Entry'!$E$6)*15)))))</f>
        <v>#N/A</v>
      </c>
      <c r="P8" s="93" t="e">
        <f t="shared" si="11"/>
        <v>#N/A</v>
      </c>
      <c r="Q8" s="93" t="e">
        <f t="shared" si="12"/>
        <v>#N/A</v>
      </c>
      <c r="R8" s="93"/>
      <c r="S8" s="94"/>
      <c r="T8" s="94" t="s">
        <v>56</v>
      </c>
      <c r="U8" s="94">
        <f>U2*U6/180</f>
        <v>42150.071839351054</v>
      </c>
      <c r="V8" s="94"/>
      <c r="W8" s="94"/>
      <c r="X8" s="100" t="s">
        <v>1247</v>
      </c>
      <c r="Y8" s="96" t="e">
        <f>Y7-'Data Observer'!$B$17*(Q3-R3)</f>
        <v>#DIV/0!</v>
      </c>
      <c r="Z8" s="96" t="e">
        <f>Z7-'Data Observer'!$B$17*(Q5-R5)</f>
        <v>#DIV/0!</v>
      </c>
      <c r="AA8" s="96" t="e">
        <f>AA7-'Data Observer'!$B$17*(Q7-R7)</f>
        <v>#DIV/0!</v>
      </c>
      <c r="AB8" s="94"/>
      <c r="AD8" s="151"/>
    </row>
    <row r="9" spans="1:29" ht="13.5">
      <c r="A9" s="93">
        <f>IF('V-band Data Entry'!$D$24&gt;0.5,('V-band Data Entry'!$C$24+2415019)+((((HOUR('V-band Data Entry'!$D$24)*60)+MINUTE('V-band Data Entry'!$D$24))/1440+DAY('V-band Data Entry'!$C$24))-0.5)-DAY('V-band Data Entry'!$C$24),('V-band Data Entry'!$C$24+2415019)+((((HOUR('V-band Data Entry'!$D$24)*60)+MINUTE('V-band Data Entry'!$D$24))/1440+DAY('V-band Data Entry'!$C$24))-1.5)-DAY('V-band Data Entry'!$C$24)+1)</f>
        <v>2415018.5</v>
      </c>
      <c r="B9" s="93">
        <f t="shared" si="0"/>
        <v>2415018.5</v>
      </c>
      <c r="C9" s="93">
        <f>'V-band Data Entry'!D24*24</f>
        <v>0</v>
      </c>
      <c r="D9" s="93">
        <f t="shared" si="1"/>
        <v>-36526.5</v>
      </c>
      <c r="E9" s="93">
        <f t="shared" si="2"/>
        <v>-36526.5</v>
      </c>
      <c r="F9" s="93">
        <f t="shared" si="3"/>
        <v>-1.000041067761807</v>
      </c>
      <c r="G9" s="93">
        <f t="shared" si="4"/>
        <v>-2393.452500314467</v>
      </c>
      <c r="H9" s="93">
        <f t="shared" si="5"/>
        <v>-17.452500314467216</v>
      </c>
      <c r="I9" s="93">
        <f t="shared" si="6"/>
        <v>2059.264281</v>
      </c>
      <c r="J9" s="93">
        <f t="shared" si="7"/>
        <v>-35721.874725</v>
      </c>
      <c r="K9" s="93">
        <f t="shared" si="8"/>
        <v>23.4539106</v>
      </c>
      <c r="L9" s="93">
        <f t="shared" si="9"/>
        <v>0.0003201326153491532</v>
      </c>
      <c r="M9" s="93">
        <f t="shared" si="10"/>
        <v>-17.452206631036926</v>
      </c>
      <c r="N9" s="93">
        <f>M9-'Data Observer'!$F$10/15</f>
        <v>-17.452206631036926</v>
      </c>
      <c r="O9" s="93" t="e">
        <f>DEGREES(ASIN(((SIN(RADIANS('Data Observer'!$F$9))*SIN(RADIANS('V-band Data Entry'!$G$7)))+(COS(RADIANS('Data Observer'!$F$9))*COS(RADIANS('V-band Data Entry'!$G$7))*COS(RADIANS((N9-'V-band Data Entry'!$E$7)*15))))))</f>
        <v>#N/A</v>
      </c>
      <c r="P9" s="93" t="e">
        <f t="shared" si="11"/>
        <v>#N/A</v>
      </c>
      <c r="Q9" s="93" t="e">
        <f t="shared" si="12"/>
        <v>#N/A</v>
      </c>
      <c r="R9" s="93"/>
      <c r="S9" s="94"/>
      <c r="T9" s="94" t="s">
        <v>57</v>
      </c>
      <c r="U9" s="94">
        <f>U2*U7/180</f>
        <v>42151.044929593496</v>
      </c>
      <c r="V9" s="94"/>
      <c r="W9" s="94"/>
      <c r="X9" s="101" t="s">
        <v>1196</v>
      </c>
      <c r="Y9" s="96" t="e">
        <f>Y8+'Data Observer'!$B$15*Y6</f>
        <v>#DIV/0!</v>
      </c>
      <c r="Z9" s="96" t="e">
        <f>Z8+'Data Observer'!$B$15*Z6</f>
        <v>#DIV/0!</v>
      </c>
      <c r="AA9" s="96" t="e">
        <f>AA8+'Data Observer'!$B$15*AA6</f>
        <v>#DIV/0!</v>
      </c>
      <c r="AB9" s="152"/>
      <c r="AC9" s="92"/>
    </row>
    <row r="10" spans="1:29" ht="13.5">
      <c r="A10" s="93">
        <f>IF('V-band Data Entry'!$D$26&gt;0.5,('V-band Data Entry'!$C$26+2415019)+((((HOUR('V-band Data Entry'!$D$26)*60)+MINUTE('V-band Data Entry'!$D$26))/1440+DAY('V-band Data Entry'!$C$26))-0.5)-DAY('V-band Data Entry'!$C$26),('V-band Data Entry'!$C$26+2415019)+((((HOUR('V-band Data Entry'!$D$26)*60)+MINUTE('V-band Data Entry'!$D$26))/1440+DAY('V-band Data Entry'!$C$26))-1.5)-DAY('V-band Data Entry'!$C$26)+1)</f>
        <v>2415018.5</v>
      </c>
      <c r="B10" s="93">
        <f t="shared" si="0"/>
        <v>2415018.5</v>
      </c>
      <c r="C10" s="93">
        <f>'V-band Data Entry'!D26*24</f>
        <v>0</v>
      </c>
      <c r="D10" s="93">
        <f t="shared" si="1"/>
        <v>-36526.5</v>
      </c>
      <c r="E10" s="93">
        <f t="shared" si="2"/>
        <v>-36526.5</v>
      </c>
      <c r="F10" s="93">
        <f t="shared" si="3"/>
        <v>-1.000041067761807</v>
      </c>
      <c r="G10" s="93">
        <f t="shared" si="4"/>
        <v>-2393.452500314467</v>
      </c>
      <c r="H10" s="93">
        <f t="shared" si="5"/>
        <v>-17.452500314467216</v>
      </c>
      <c r="I10" s="93">
        <f t="shared" si="6"/>
        <v>2059.264281</v>
      </c>
      <c r="J10" s="93">
        <f t="shared" si="7"/>
        <v>-35721.874725</v>
      </c>
      <c r="K10" s="93">
        <f t="shared" si="8"/>
        <v>23.4539106</v>
      </c>
      <c r="L10" s="93">
        <f t="shared" si="9"/>
        <v>0.0003201326153491532</v>
      </c>
      <c r="M10" s="93">
        <f t="shared" si="10"/>
        <v>-17.452206631036926</v>
      </c>
      <c r="N10" s="93">
        <f>M10-'Data Observer'!$F$10/15</f>
        <v>-17.452206631036926</v>
      </c>
      <c r="O10" s="93" t="e">
        <f>DEGREES(ASIN((SIN(RADIANS('Data Observer'!$F$9))*SIN(RADIANS('V-band Data Entry'!$G$6)))+(COS(RADIANS('Data Observer'!$F$9))*COS(RADIANS('V-band Data Entry'!$G$6))*COS(RADIANS((N10-'V-band Data Entry'!$E$6)*15)))))</f>
        <v>#N/A</v>
      </c>
      <c r="P10" s="93" t="e">
        <f t="shared" si="11"/>
        <v>#N/A</v>
      </c>
      <c r="Q10" s="93" t="e">
        <f t="shared" si="12"/>
        <v>#N/A</v>
      </c>
      <c r="R10" s="93"/>
      <c r="S10" s="94"/>
      <c r="T10" s="94" t="s">
        <v>58</v>
      </c>
      <c r="U10" s="94">
        <f>0.99986*COS(U8)-0.025127*COS(U9-U8)+0.008374*COS(U9+U8)</f>
        <v>-0.7858406444119536</v>
      </c>
      <c r="V10" s="94"/>
      <c r="W10" s="94"/>
      <c r="X10" s="100" t="s">
        <v>1198</v>
      </c>
      <c r="Y10" s="96" t="e">
        <f>Y9+'V-band Data Entry'!$K$6</f>
        <v>#DIV/0!</v>
      </c>
      <c r="Z10" s="96" t="e">
        <f>Z9+'V-band Data Entry'!$K$6</f>
        <v>#DIV/0!</v>
      </c>
      <c r="AA10" s="96" t="e">
        <f>AA9+'V-band Data Entry'!$K$6</f>
        <v>#DIV/0!</v>
      </c>
      <c r="AB10" s="152" t="e">
        <f>AVERAGE(Y10:AA10)</f>
        <v>#DIV/0!</v>
      </c>
      <c r="AC10" s="99"/>
    </row>
    <row r="11" spans="1:29" ht="13.5">
      <c r="A11" s="93"/>
      <c r="B11" s="93"/>
      <c r="C11" s="93"/>
      <c r="D11" s="93"/>
      <c r="E11" s="93"/>
      <c r="F11" s="93"/>
      <c r="G11" s="93"/>
      <c r="H11" s="93"/>
      <c r="I11" s="93"/>
      <c r="J11" s="93"/>
      <c r="K11" s="93"/>
      <c r="L11" s="93"/>
      <c r="M11" s="93"/>
      <c r="N11" s="93"/>
      <c r="O11" s="93"/>
      <c r="P11" s="93"/>
      <c r="Q11" s="93"/>
      <c r="R11" s="93"/>
      <c r="S11" s="94"/>
      <c r="T11" s="94" t="s">
        <v>58</v>
      </c>
      <c r="U11" s="94">
        <f>U10+0.000105*COS(2*U9+U8)+0.000063*U4*COS(U9-U8)+0.000035*COS(2*U9-U8)</f>
        <v>-0.7835775639025075</v>
      </c>
      <c r="V11" s="94"/>
      <c r="W11" s="94"/>
      <c r="X11" s="98" t="s">
        <v>33</v>
      </c>
      <c r="Y11" s="96" t="e">
        <f>'V-band Data Entry'!$K$30</f>
        <v>#DIV/0!</v>
      </c>
      <c r="Z11" s="96" t="e">
        <f>'V-band Data Entry'!$K$30</f>
        <v>#DIV/0!</v>
      </c>
      <c r="AA11" s="96" t="e">
        <f>'V-band Data Entry'!$K$30</f>
        <v>#DIV/0!</v>
      </c>
      <c r="AB11" s="96" t="e">
        <f>'V-band Data Entry'!$K$30</f>
        <v>#DIV/0!</v>
      </c>
      <c r="AC11" s="99"/>
    </row>
    <row r="12" spans="1:30" s="104" customFormat="1" ht="13.5" hidden="1">
      <c r="A12" s="93"/>
      <c r="B12" s="93"/>
      <c r="C12" s="93"/>
      <c r="D12" s="93"/>
      <c r="E12" s="93"/>
      <c r="F12" s="93"/>
      <c r="G12" s="93"/>
      <c r="H12" s="156"/>
      <c r="I12" s="93"/>
      <c r="J12" s="93"/>
      <c r="K12" s="93"/>
      <c r="L12" s="93"/>
      <c r="M12" s="93"/>
      <c r="N12" s="93"/>
      <c r="O12" s="93"/>
      <c r="P12" s="93"/>
      <c r="Q12" s="93"/>
      <c r="R12" s="93"/>
      <c r="S12" s="94"/>
      <c r="T12" s="94" t="s">
        <v>59</v>
      </c>
      <c r="U12" s="94">
        <f>0.917308*SIN(U8)+0.023053*SIN(U9-U8)+0.007683*SIN(U9+U8)</f>
        <v>0.5907099976172343</v>
      </c>
      <c r="V12" s="94"/>
      <c r="W12" s="94"/>
      <c r="X12" s="98" t="s">
        <v>34</v>
      </c>
      <c r="Y12" s="96" t="e">
        <f>'V-band Data Entry'!$K$31</f>
        <v>#DIV/0!</v>
      </c>
      <c r="Z12" s="96" t="e">
        <f>'V-band Data Entry'!$K$31</f>
        <v>#DIV/0!</v>
      </c>
      <c r="AA12" s="96" t="e">
        <f>'V-band Data Entry'!$K$31</f>
        <v>#DIV/0!</v>
      </c>
      <c r="AB12" s="96" t="e">
        <f>'V-band Data Entry'!$K$31</f>
        <v>#DIV/0!</v>
      </c>
      <c r="AC12" s="99"/>
      <c r="AD12" s="106"/>
    </row>
    <row r="13" spans="1:30" s="104" customFormat="1" ht="13.5" hidden="1">
      <c r="A13" s="93"/>
      <c r="B13" s="93"/>
      <c r="C13" s="93"/>
      <c r="D13" s="93"/>
      <c r="E13" s="93"/>
      <c r="F13" s="93"/>
      <c r="G13" s="93"/>
      <c r="H13" s="93"/>
      <c r="I13" s="93"/>
      <c r="J13" s="93"/>
      <c r="K13" s="93"/>
      <c r="L13" s="93"/>
      <c r="M13" s="93"/>
      <c r="N13" s="93">
        <f>N3</f>
        <v>-17.452206631036926</v>
      </c>
      <c r="O13" s="93" t="e">
        <f>DEGREES(ASIN((SIN(RADIANS('Data Observer'!$F$9))*SIN(RADIANS('V-band Data Entry'!$G$6)))+(COS(RADIANS('Data Observer'!$F$9))*COS(RADIANS('V-band Data Entry'!$G$6))*COS(RADIANS((N3-'V-band Data Entry'!$E$6)*15)))))</f>
        <v>#N/A</v>
      </c>
      <c r="P13" s="93" t="e">
        <f t="shared" si="11"/>
        <v>#N/A</v>
      </c>
      <c r="Q13" s="93" t="e">
        <f t="shared" si="12"/>
        <v>#N/A</v>
      </c>
      <c r="R13" s="93"/>
      <c r="S13" s="94"/>
      <c r="T13" s="94" t="s">
        <v>59</v>
      </c>
      <c r="U13" s="94">
        <f>U12+0.000097*SIN(2*U9+U8)-0.000057*U4*SIN(U9-U8)-0.000032*SIN(2*U9-U8)</f>
        <v>0.5875881755766421</v>
      </c>
      <c r="V13" s="94"/>
      <c r="W13" s="94"/>
      <c r="X13" s="98"/>
      <c r="Y13" s="96"/>
      <c r="Z13" s="96"/>
      <c r="AA13" s="96"/>
      <c r="AB13" s="152"/>
      <c r="AC13" s="99"/>
      <c r="AD13" s="106"/>
    </row>
    <row r="14" spans="1:30" s="104" customFormat="1" ht="13.5" hidden="1">
      <c r="A14" s="93"/>
      <c r="B14" s="93"/>
      <c r="C14" s="93"/>
      <c r="D14" s="93"/>
      <c r="E14" s="93"/>
      <c r="F14" s="93"/>
      <c r="G14" s="93"/>
      <c r="H14" s="93"/>
      <c r="I14" s="93"/>
      <c r="J14" s="93"/>
      <c r="K14" s="93"/>
      <c r="L14" s="93"/>
      <c r="M14" s="93"/>
      <c r="N14" s="93">
        <f>N5</f>
        <v>-17.452206631036926</v>
      </c>
      <c r="O14" s="93" t="e">
        <f>DEGREES(ASIN((SIN(RADIANS('Data Observer'!$F$9))*SIN(RADIANS('V-band Data Entry'!$G$6)))+(COS(RADIANS('Data Observer'!$F$9))*COS(RADIANS('V-band Data Entry'!$G$6))*COS(RADIANS((N5-'V-band Data Entry'!$E$6)*15)))))</f>
        <v>#N/A</v>
      </c>
      <c r="P14" s="93" t="e">
        <f t="shared" si="11"/>
        <v>#N/A</v>
      </c>
      <c r="Q14" s="93" t="e">
        <f t="shared" si="12"/>
        <v>#N/A</v>
      </c>
      <c r="R14" s="93"/>
      <c r="S14" s="94"/>
      <c r="T14" s="94" t="s">
        <v>60</v>
      </c>
      <c r="U14" s="94" t="e">
        <f>'V-band Data Entry'!$E$5*U2/12</f>
        <v>#N/A</v>
      </c>
      <c r="V14" s="94"/>
      <c r="W14" s="94"/>
      <c r="X14" s="98"/>
      <c r="Y14" s="96"/>
      <c r="Z14" s="96"/>
      <c r="AA14" s="96"/>
      <c r="AB14" s="152"/>
      <c r="AC14" s="99"/>
      <c r="AD14" s="106"/>
    </row>
    <row r="15" spans="1:30" s="104" customFormat="1" ht="13.5" hidden="1">
      <c r="A15" s="93"/>
      <c r="B15" s="93"/>
      <c r="C15" s="93"/>
      <c r="D15" s="93"/>
      <c r="E15" s="93"/>
      <c r="F15" s="93"/>
      <c r="G15" s="93"/>
      <c r="H15" s="156"/>
      <c r="I15" s="93"/>
      <c r="J15" s="93"/>
      <c r="K15" s="93"/>
      <c r="L15" s="93"/>
      <c r="M15" s="93"/>
      <c r="N15" s="93">
        <f>N7</f>
        <v>-17.452206631036926</v>
      </c>
      <c r="O15" s="93" t="e">
        <f>DEGREES(ASIN((SIN(RADIANS('Data Observer'!$F$9))*SIN(RADIANS('V-band Data Entry'!$G$6)))+(COS(RADIANS('Data Observer'!$F$9))*COS(RADIANS('V-band Data Entry'!$G$6))*COS(RADIANS((N7-'V-band Data Entry'!$E$6)*15)))))</f>
        <v>#N/A</v>
      </c>
      <c r="P15" s="93" t="e">
        <f t="shared" si="11"/>
        <v>#N/A</v>
      </c>
      <c r="Q15" s="93" t="e">
        <f t="shared" si="12"/>
        <v>#N/A</v>
      </c>
      <c r="R15" s="93"/>
      <c r="S15" s="94"/>
      <c r="T15" s="94" t="s">
        <v>61</v>
      </c>
      <c r="U15" s="94" t="e">
        <f>'V-band Data Entry'!$G$5*U2/180</f>
        <v>#N/A</v>
      </c>
      <c r="V15" s="94"/>
      <c r="W15" s="94"/>
      <c r="X15" s="95"/>
      <c r="Y15" s="152"/>
      <c r="Z15" s="152"/>
      <c r="AA15" s="152"/>
      <c r="AB15" s="152"/>
      <c r="AC15" s="106"/>
      <c r="AD15" s="106"/>
    </row>
    <row r="16" spans="1:30" s="104" customFormat="1" ht="13.5" hidden="1">
      <c r="A16" s="93"/>
      <c r="B16" s="93"/>
      <c r="C16" s="93"/>
      <c r="D16" s="93"/>
      <c r="E16" s="93"/>
      <c r="F16" s="93"/>
      <c r="G16" s="93"/>
      <c r="H16" s="156"/>
      <c r="I16" s="93"/>
      <c r="J16" s="93"/>
      <c r="K16" s="93"/>
      <c r="L16" s="93"/>
      <c r="M16" s="93"/>
      <c r="N16" s="93"/>
      <c r="O16" s="93"/>
      <c r="P16" s="93"/>
      <c r="Q16" s="93"/>
      <c r="R16" s="93"/>
      <c r="S16" s="94"/>
      <c r="T16" s="94" t="s">
        <v>62</v>
      </c>
      <c r="U16" s="94" t="e">
        <f>-0.0057755*(COS(U15)*COS(U14)*U11+(TAN(U3)*SIN(U15)+COS(U15)*SIN(U14))*U13)</f>
        <v>#N/A</v>
      </c>
      <c r="V16" s="94"/>
      <c r="W16" s="94"/>
      <c r="X16" s="95"/>
      <c r="Y16" s="152"/>
      <c r="Z16" s="152"/>
      <c r="AA16" s="152"/>
      <c r="AB16" s="152"/>
      <c r="AC16" s="106"/>
      <c r="AD16" s="106"/>
    </row>
    <row r="17" spans="1:29" ht="13.5">
      <c r="A17" s="103"/>
      <c r="B17" s="103"/>
      <c r="C17" s="103"/>
      <c r="D17" s="103"/>
      <c r="E17" s="103"/>
      <c r="F17" s="103"/>
      <c r="G17" s="103"/>
      <c r="H17" s="137"/>
      <c r="I17" s="103"/>
      <c r="J17" s="103"/>
      <c r="K17" s="103"/>
      <c r="L17" s="103"/>
      <c r="M17" s="103"/>
      <c r="N17" s="103"/>
      <c r="O17" s="103"/>
      <c r="P17" s="103"/>
      <c r="Q17" s="103"/>
      <c r="R17" s="103"/>
      <c r="S17" s="104"/>
      <c r="T17" s="104"/>
      <c r="U17" s="104"/>
      <c r="V17" s="104"/>
      <c r="W17" s="104"/>
      <c r="X17" s="105"/>
      <c r="Y17" s="106"/>
      <c r="Z17" s="106"/>
      <c r="AA17" s="106"/>
      <c r="AB17" s="104"/>
      <c r="AC17" s="106"/>
    </row>
    <row r="18" spans="1:29" ht="13.5">
      <c r="A18" s="107" t="s">
        <v>1273</v>
      </c>
      <c r="B18" s="107" t="s">
        <v>1270</v>
      </c>
      <c r="C18" s="107" t="s">
        <v>1272</v>
      </c>
      <c r="D18" s="107" t="s">
        <v>1380</v>
      </c>
      <c r="E18" s="107" t="s">
        <v>1381</v>
      </c>
      <c r="F18" s="107" t="s">
        <v>1271</v>
      </c>
      <c r="G18" s="136" t="s">
        <v>1382</v>
      </c>
      <c r="H18" s="107" t="s">
        <v>1383</v>
      </c>
      <c r="I18" s="166" t="s">
        <v>1384</v>
      </c>
      <c r="J18" s="107" t="s">
        <v>1385</v>
      </c>
      <c r="K18" s="166" t="s">
        <v>1386</v>
      </c>
      <c r="L18" s="166" t="s">
        <v>1387</v>
      </c>
      <c r="M18" s="107" t="s">
        <v>1388</v>
      </c>
      <c r="N18" s="136" t="s">
        <v>49</v>
      </c>
      <c r="O18" s="136" t="s">
        <v>45</v>
      </c>
      <c r="P18" s="136" t="s">
        <v>46</v>
      </c>
      <c r="Q18" s="136" t="s">
        <v>20</v>
      </c>
      <c r="R18" s="136" t="s">
        <v>1261</v>
      </c>
      <c r="S18" s="107"/>
      <c r="T18" s="107" t="s">
        <v>1242</v>
      </c>
      <c r="U18" s="108"/>
      <c r="V18" s="108"/>
      <c r="W18" s="107" t="s">
        <v>1203</v>
      </c>
      <c r="X18" s="109" t="s">
        <v>1258</v>
      </c>
      <c r="Y18" s="110">
        <v>1</v>
      </c>
      <c r="Z18" s="110">
        <v>2</v>
      </c>
      <c r="AA18" s="110">
        <v>3</v>
      </c>
      <c r="AB18" s="107" t="s">
        <v>1359</v>
      </c>
      <c r="AC18" s="106"/>
    </row>
    <row r="19" spans="1:29" ht="13.5">
      <c r="A19" s="111">
        <f>IF('B-band Data Entry'!$D$10&gt;0.5,('B-band Data Entry'!$C$10+2415019)+((((HOUR('B-band Data Entry'!$D$10)*60)+MINUTE('B-band Data Entry'!$D$10))/1440+DAY('B-band Data Entry'!$C$10))-0.5)-DAY('B-band Data Entry'!$C$10),('B-band Data Entry'!$C$10+2415019)+((((HOUR('B-band Data Entry'!$D$10)*60)+MINUTE('B-band Data Entry'!$D$10))/1440+DAY('B-band Data Entry'!$C$10))-1.5)-DAY('B-band Data Entry'!$C$10)+1)</f>
        <v>2415018.5</v>
      </c>
      <c r="B19" s="111">
        <f>IF((A19-ROUNDDOWN(A19,0))&lt;0.5,ROUNDDOWN(A19,0)-0.5,ROUNDDOWN(A19,0)+0.5)</f>
        <v>2415018.5</v>
      </c>
      <c r="C19" s="138">
        <f>'B-band Data Entry'!D10*24</f>
        <v>0</v>
      </c>
      <c r="D19" s="111">
        <f t="shared" si="1"/>
        <v>-36526.5</v>
      </c>
      <c r="E19" s="111">
        <f t="shared" si="2"/>
        <v>-36526.5</v>
      </c>
      <c r="F19" s="111">
        <f>(B19-2451545)/36525</f>
        <v>-1.000041067761807</v>
      </c>
      <c r="G19" s="111">
        <f>6.697374558+(2400.051336*F19)+(0.000025862*F19*F19)+(C19*1.0027379093)</f>
        <v>-2393.452500314467</v>
      </c>
      <c r="H19" s="111">
        <f>G19-24*(ROUNDDOWN(G19/24,0))</f>
        <v>-17.452500314467216</v>
      </c>
      <c r="I19" s="111">
        <f t="shared" si="6"/>
        <v>2059.264281</v>
      </c>
      <c r="J19" s="111">
        <f t="shared" si="7"/>
        <v>-35721.874725</v>
      </c>
      <c r="K19" s="111">
        <f t="shared" si="8"/>
        <v>23.4539106</v>
      </c>
      <c r="L19" s="111">
        <f>-0.000319*SIN(RADIANS(I19))-0.000024*SIN((RADIANS(2*J19)))</f>
        <v>0.0003201326153491532</v>
      </c>
      <c r="M19" s="111">
        <f>H19+L19*COS(RADIANS(K19))</f>
        <v>-17.452206631036926</v>
      </c>
      <c r="N19" s="111">
        <f>M19-'Data Observer'!$F$10/15</f>
        <v>-17.452206631036926</v>
      </c>
      <c r="O19" s="111" t="e">
        <f>DEGREES(ASIN((SIN(RADIANS('Data Observer'!$F$9))*SIN(RADIANS('V-band Data Entry'!$G$6)))+(COS(RADIANS('Data Observer'!$F$9))*COS(RADIANS('V-band Data Entry'!$G$6))*COS(RADIANS((N19-'V-band Data Entry'!$E$6))*15))))</f>
        <v>#N/A</v>
      </c>
      <c r="P19" s="111" t="e">
        <f t="shared" si="11"/>
        <v>#N/A</v>
      </c>
      <c r="Q19" s="111" t="e">
        <f t="shared" si="12"/>
        <v>#N/A</v>
      </c>
      <c r="R19" s="111"/>
      <c r="S19" s="108"/>
      <c r="T19" s="108" t="s">
        <v>52</v>
      </c>
      <c r="U19" s="108">
        <f>4*ATAN(1)</f>
        <v>3.141592653589793</v>
      </c>
      <c r="V19" s="108"/>
      <c r="W19" s="111" t="e">
        <f>'B-band Data Entry'!$K$36+U33</f>
        <v>#N/A</v>
      </c>
      <c r="X19" s="113" t="s">
        <v>1370</v>
      </c>
      <c r="Y19" s="112" t="e">
        <f>'B-band Data Entry'!$N$12</f>
        <v>#DIV/0!</v>
      </c>
      <c r="Z19" s="112" t="e">
        <f>'B-band Data Entry'!$N$16</f>
        <v>#DIV/0!</v>
      </c>
      <c r="AA19" s="112" t="e">
        <f>'B-band Data Entry'!$N$20</f>
        <v>#DIV/0!</v>
      </c>
      <c r="AB19" s="108"/>
      <c r="AC19" s="106"/>
    </row>
    <row r="20" spans="1:29" ht="13.5">
      <c r="A20" s="111">
        <f>IF('B-band Data Entry'!$D$12&gt;0.5,('B-band Data Entry'!$C$12+2415019)+((((HOUR('B-band Data Entry'!$D$12)*60)+MINUTE('B-band Data Entry'!$D$12))/1440+DAY('B-band Data Entry'!$C$12))-0.5)-DAY('B-band Data Entry'!$C$12),('B-band Data Entry'!$C$12+2415019)+((((HOUR('B-band Data Entry'!$D$12)*60)+MINUTE('B-band Data Entry'!$D$12))/1440+DAY('B-band Data Entry'!$C$12))-1.5)-DAY('B-band Data Entry'!$C$12)+1)</f>
        <v>2415018.5</v>
      </c>
      <c r="B20" s="111">
        <f aca="true" t="shared" si="13" ref="B20:B27">IF((A20-ROUNDDOWN(A20,0))&lt;0.5,ROUNDDOWN(A20,0)-0.5,ROUNDDOWN(A20,0)+0.5)</f>
        <v>2415018.5</v>
      </c>
      <c r="C20" s="138">
        <f>'B-band Data Entry'!D12*24</f>
        <v>0</v>
      </c>
      <c r="D20" s="111">
        <f t="shared" si="1"/>
        <v>-36526.5</v>
      </c>
      <c r="E20" s="111">
        <f t="shared" si="2"/>
        <v>-36526.5</v>
      </c>
      <c r="F20" s="111">
        <f aca="true" t="shared" si="14" ref="F20:F27">(B20-2451545)/36525</f>
        <v>-1.000041067761807</v>
      </c>
      <c r="G20" s="111">
        <f aca="true" t="shared" si="15" ref="G20:G27">6.697374558+(2400.051336*F20)+(0.000025862*F20*F20)+(C20*1.0027379093)</f>
        <v>-2393.452500314467</v>
      </c>
      <c r="H20" s="111">
        <f aca="true" t="shared" si="16" ref="H20:H27">G20-24*(ROUNDDOWN(G20/24,0))</f>
        <v>-17.452500314467216</v>
      </c>
      <c r="I20" s="111">
        <f t="shared" si="6"/>
        <v>2059.264281</v>
      </c>
      <c r="J20" s="111">
        <f t="shared" si="7"/>
        <v>-35721.874725</v>
      </c>
      <c r="K20" s="111">
        <f t="shared" si="8"/>
        <v>23.4539106</v>
      </c>
      <c r="L20" s="111">
        <f aca="true" t="shared" si="17" ref="L20:L27">-0.000319*SIN(RADIANS(I20))-0.000024*SIN((RADIANS(2*J20)))</f>
        <v>0.0003201326153491532</v>
      </c>
      <c r="M20" s="111">
        <f aca="true" t="shared" si="18" ref="M20:M27">H20+L20*COS(RADIANS(K20))</f>
        <v>-17.452206631036926</v>
      </c>
      <c r="N20" s="111">
        <f>M20-'Data Observer'!$F$10/15</f>
        <v>-17.452206631036926</v>
      </c>
      <c r="O20" s="111" t="e">
        <f>DEGREES(ASIN(((SIN(RADIANS('Data Observer'!$F$9))*SIN(RADIANS('V-band Data Entry'!$G$5)))+(COS(RADIANS('Data Observer'!$F$9))*COS(RADIANS('V-band Data Entry'!$G$5))*COS(RADIANS((N20-'V-band Data Entry'!$E$5)*15))))))</f>
        <v>#N/A</v>
      </c>
      <c r="P20" s="111" t="e">
        <f t="shared" si="11"/>
        <v>#N/A</v>
      </c>
      <c r="Q20" s="111" t="e">
        <f t="shared" si="12"/>
        <v>#N/A</v>
      </c>
      <c r="R20" s="111" t="e">
        <f>Q29</f>
        <v>#N/A</v>
      </c>
      <c r="S20" s="108"/>
      <c r="T20" s="108" t="s">
        <v>53</v>
      </c>
      <c r="U20" s="108">
        <f>(23+27/60)*U19/180</f>
        <v>0.40927970959267024</v>
      </c>
      <c r="V20" s="108"/>
      <c r="W20" s="111"/>
      <c r="X20" s="114" t="s">
        <v>1247</v>
      </c>
      <c r="Y20" s="112" t="e">
        <f>Y19-'Data Observer'!$B$18*(Q20-R20)</f>
        <v>#DIV/0!</v>
      </c>
      <c r="Z20" s="112" t="e">
        <f>Z19-'Data Observer'!$B$18*(Q22-R22)</f>
        <v>#DIV/0!</v>
      </c>
      <c r="AA20" s="112" t="e">
        <f>AA19-'Data Observer'!$B$18*(Q24-R24)</f>
        <v>#DIV/0!</v>
      </c>
      <c r="AB20" s="108"/>
      <c r="AC20" s="151"/>
    </row>
    <row r="21" spans="1:29" ht="13.5">
      <c r="A21" s="111">
        <f>IF('B-band Data Entry'!$D$14&gt;0.5,('B-band Data Entry'!$C$14+2415019)+((((HOUR('B-band Data Entry'!$D$14)*60)+MINUTE('B-band Data Entry'!$D$14))/1440+DAY('B-band Data Entry'!$C$14))-0.5)-DAY('B-band Data Entry'!$C$14),('B-band Data Entry'!$C$14+2415019)+((((HOUR('B-band Data Entry'!$D$14)*60)+MINUTE('B-band Data Entry'!$D$14))/1440+DAY('B-band Data Entry'!$C$14))-1.5)-DAY('B-band Data Entry'!$C$14)+1)</f>
        <v>2415018.5</v>
      </c>
      <c r="B21" s="111">
        <f t="shared" si="13"/>
        <v>2415018.5</v>
      </c>
      <c r="C21" s="138">
        <f>'B-band Data Entry'!D14*24</f>
        <v>0</v>
      </c>
      <c r="D21" s="111">
        <f t="shared" si="1"/>
        <v>-36526.5</v>
      </c>
      <c r="E21" s="111">
        <f t="shared" si="2"/>
        <v>-36526.5</v>
      </c>
      <c r="F21" s="111">
        <f t="shared" si="14"/>
        <v>-1.000041067761807</v>
      </c>
      <c r="G21" s="111">
        <f t="shared" si="15"/>
        <v>-2393.452500314467</v>
      </c>
      <c r="H21" s="111">
        <f t="shared" si="16"/>
        <v>-17.452500314467216</v>
      </c>
      <c r="I21" s="111">
        <f t="shared" si="6"/>
        <v>2059.264281</v>
      </c>
      <c r="J21" s="111">
        <f t="shared" si="7"/>
        <v>-35721.874725</v>
      </c>
      <c r="K21" s="111">
        <f t="shared" si="8"/>
        <v>23.4539106</v>
      </c>
      <c r="L21" s="111">
        <f t="shared" si="17"/>
        <v>0.0003201326153491532</v>
      </c>
      <c r="M21" s="111">
        <f t="shared" si="18"/>
        <v>-17.452206631036926</v>
      </c>
      <c r="N21" s="111">
        <f>M21-'Data Observer'!$F$10/15</f>
        <v>-17.452206631036926</v>
      </c>
      <c r="O21" s="111" t="e">
        <f>DEGREES(ASIN((SIN(RADIANS('Data Observer'!$F$9))*SIN(RADIANS('V-band Data Entry'!$G$6)))+(COS(RADIANS('Data Observer'!$F$9))*COS(RADIANS('V-band Data Entry'!$G$6))*COS(RADIANS((N21-'V-band Data Entry'!$E$6))*15))))</f>
        <v>#N/A</v>
      </c>
      <c r="P21" s="111" t="e">
        <f t="shared" si="11"/>
        <v>#N/A</v>
      </c>
      <c r="Q21" s="111" t="e">
        <f t="shared" si="12"/>
        <v>#N/A</v>
      </c>
      <c r="R21" s="111"/>
      <c r="S21" s="108"/>
      <c r="T21" s="108" t="s">
        <v>54</v>
      </c>
      <c r="U21" s="108">
        <f>('B-band Data Entry'!$K$36+2450000-2415020)/36525</f>
        <v>67.07730321697467</v>
      </c>
      <c r="V21" s="108"/>
      <c r="W21" s="108"/>
      <c r="X21" s="115" t="s">
        <v>1358</v>
      </c>
      <c r="Y21" s="112" t="e">
        <f>Y20-'Data Observer'!$B$19*AVERAGE(Q20:R20)*Y2</f>
        <v>#DIV/0!</v>
      </c>
      <c r="Z21" s="112" t="e">
        <f>Z20-'Data Observer'!$B$19*AVERAGE(Q22:R22)*Z2</f>
        <v>#DIV/0!</v>
      </c>
      <c r="AA21" s="112" t="e">
        <f>AA20-'Data Observer'!$B$19*AVERAGE(Q24:R24)*AA2</f>
        <v>#DIV/0!</v>
      </c>
      <c r="AB21" s="108"/>
      <c r="AC21" s="99"/>
    </row>
    <row r="22" spans="1:29" ht="13.5">
      <c r="A22" s="111">
        <f>IF('B-band Data Entry'!$D$16&gt;0.5,('B-band Data Entry'!$C$16+2415019)+((((HOUR('B-band Data Entry'!$D$16)*60)+MINUTE('B-band Data Entry'!$D$16))/1440+DAY('B-band Data Entry'!$C$16))-0.5)-DAY('B-band Data Entry'!$C$16),('B-band Data Entry'!$C$16+2415019)+((((HOUR('B-band Data Entry'!$D$16)*60)+MINUTE('B-band Data Entry'!$D$16))/1440+DAY('B-band Data Entry'!$C$16))-1.5)-DAY('B-band Data Entry'!$C$16)+1)</f>
        <v>2415018.5</v>
      </c>
      <c r="B22" s="111">
        <f t="shared" si="13"/>
        <v>2415018.5</v>
      </c>
      <c r="C22" s="138">
        <f>'B-band Data Entry'!D16*24</f>
        <v>0</v>
      </c>
      <c r="D22" s="111">
        <f t="shared" si="1"/>
        <v>-36526.5</v>
      </c>
      <c r="E22" s="111">
        <f t="shared" si="2"/>
        <v>-36526.5</v>
      </c>
      <c r="F22" s="111">
        <f t="shared" si="14"/>
        <v>-1.000041067761807</v>
      </c>
      <c r="G22" s="111">
        <f t="shared" si="15"/>
        <v>-2393.452500314467</v>
      </c>
      <c r="H22" s="111">
        <f t="shared" si="16"/>
        <v>-17.452500314467216</v>
      </c>
      <c r="I22" s="111">
        <f t="shared" si="6"/>
        <v>2059.264281</v>
      </c>
      <c r="J22" s="111">
        <f t="shared" si="7"/>
        <v>-35721.874725</v>
      </c>
      <c r="K22" s="111">
        <f t="shared" si="8"/>
        <v>23.4539106</v>
      </c>
      <c r="L22" s="111">
        <f t="shared" si="17"/>
        <v>0.0003201326153491532</v>
      </c>
      <c r="M22" s="111">
        <f t="shared" si="18"/>
        <v>-17.452206631036926</v>
      </c>
      <c r="N22" s="111">
        <f>M22-'Data Observer'!$F$10/15</f>
        <v>-17.452206631036926</v>
      </c>
      <c r="O22" s="111" t="e">
        <f>DEGREES(ASIN(((SIN(RADIANS('Data Observer'!$F$9))*SIN(RADIANS('V-band Data Entry'!$G$5)))+(COS(RADIANS('Data Observer'!$F$9))*COS(RADIANS('V-band Data Entry'!$G$5))*COS(RADIANS((N22-'V-band Data Entry'!$E$5)*15))))))</f>
        <v>#N/A</v>
      </c>
      <c r="P22" s="111" t="e">
        <f t="shared" si="11"/>
        <v>#N/A</v>
      </c>
      <c r="Q22" s="111" t="e">
        <f t="shared" si="12"/>
        <v>#N/A</v>
      </c>
      <c r="R22" s="111" t="e">
        <f>Q30</f>
        <v>#N/A</v>
      </c>
      <c r="S22" s="108"/>
      <c r="T22" s="108" t="s">
        <v>55</v>
      </c>
      <c r="U22" s="108">
        <f>(1.39604+0.000308*(U21+0.5))*(U21-0.499998)</f>
        <v>94.33030851564641</v>
      </c>
      <c r="V22" s="108"/>
      <c r="W22" s="108"/>
      <c r="X22" s="115" t="s">
        <v>1196</v>
      </c>
      <c r="Y22" s="112" t="e">
        <f>Y21+'Data Observer'!$B$16*Y6</f>
        <v>#DIV/0!</v>
      </c>
      <c r="Z22" s="112" t="e">
        <f>Z21+'Data Observer'!$B$16*Z6</f>
        <v>#DIV/0!</v>
      </c>
      <c r="AA22" s="112" t="e">
        <f>AA21+'Data Observer'!$B$16*AA6</f>
        <v>#DIV/0!</v>
      </c>
      <c r="AB22" s="108"/>
      <c r="AC22" s="99"/>
    </row>
    <row r="23" spans="1:29" ht="13.5">
      <c r="A23" s="111">
        <f>IF('B-band Data Entry'!$D$18&gt;0.5,('B-band Data Entry'!$C$18+2415019)+((((HOUR('B-band Data Entry'!$D$18)*60)+MINUTE('B-band Data Entry'!$D$18))/1440+DAY('B-band Data Entry'!$C$18))-0.5)-DAY('B-band Data Entry'!$C$18),('B-band Data Entry'!$C$18+2415019)+((((HOUR('B-band Data Entry'!$D$18)*60)+MINUTE('B-band Data Entry'!$D$18))/1440+DAY('B-band Data Entry'!$C$18))-1.5)-DAY('B-band Data Entry'!$C$18)+1)</f>
        <v>2415018.5</v>
      </c>
      <c r="B23" s="111">
        <f t="shared" si="13"/>
        <v>2415018.5</v>
      </c>
      <c r="C23" s="138">
        <f>'B-band Data Entry'!D18*24</f>
        <v>0</v>
      </c>
      <c r="D23" s="111">
        <f t="shared" si="1"/>
        <v>-36526.5</v>
      </c>
      <c r="E23" s="111">
        <f t="shared" si="2"/>
        <v>-36526.5</v>
      </c>
      <c r="F23" s="111">
        <f t="shared" si="14"/>
        <v>-1.000041067761807</v>
      </c>
      <c r="G23" s="111">
        <f t="shared" si="15"/>
        <v>-2393.452500314467</v>
      </c>
      <c r="H23" s="111">
        <f t="shared" si="16"/>
        <v>-17.452500314467216</v>
      </c>
      <c r="I23" s="111">
        <f t="shared" si="6"/>
        <v>2059.264281</v>
      </c>
      <c r="J23" s="111">
        <f t="shared" si="7"/>
        <v>-35721.874725</v>
      </c>
      <c r="K23" s="111">
        <f t="shared" si="8"/>
        <v>23.4539106</v>
      </c>
      <c r="L23" s="111">
        <f t="shared" si="17"/>
        <v>0.0003201326153491532</v>
      </c>
      <c r="M23" s="111">
        <f t="shared" si="18"/>
        <v>-17.452206631036926</v>
      </c>
      <c r="N23" s="111">
        <f>M23-'Data Observer'!$F$10/15</f>
        <v>-17.452206631036926</v>
      </c>
      <c r="O23" s="111" t="e">
        <f>DEGREES(ASIN((SIN(RADIANS('Data Observer'!$F$9))*SIN(RADIANS('V-band Data Entry'!$G$6)))+(COS(RADIANS('Data Observer'!$F$9))*COS(RADIANS('V-band Data Entry'!$G$6))*COS(RADIANS((N23-'V-band Data Entry'!$E$6))*15))))</f>
        <v>#N/A</v>
      </c>
      <c r="P23" s="111" t="e">
        <f t="shared" si="11"/>
        <v>#N/A</v>
      </c>
      <c r="Q23" s="111" t="e">
        <f t="shared" si="12"/>
        <v>#N/A</v>
      </c>
      <c r="R23" s="111"/>
      <c r="S23" s="108"/>
      <c r="T23" s="108" t="s">
        <v>56</v>
      </c>
      <c r="U23" s="108">
        <f>(0.000303*U21+36000.76892)*U21+279.696678-U22</f>
        <v>2415021.2225680384</v>
      </c>
      <c r="V23" s="108"/>
      <c r="W23" s="108"/>
      <c r="X23" s="114" t="s">
        <v>1198</v>
      </c>
      <c r="Y23" s="112" t="e">
        <f>Y22+'B-band Data Entry'!$K$6</f>
        <v>#DIV/0!</v>
      </c>
      <c r="Z23" s="112" t="e">
        <f>Z22+'B-band Data Entry'!$K$6</f>
        <v>#DIV/0!</v>
      </c>
      <c r="AA23" s="112" t="e">
        <f>AA22+'B-band Data Entry'!$K$6</f>
        <v>#DIV/0!</v>
      </c>
      <c r="AB23" s="153" t="e">
        <f>AVERAGE(Y23:AA23)</f>
        <v>#DIV/0!</v>
      </c>
      <c r="AC23" s="99"/>
    </row>
    <row r="24" spans="1:29" ht="13.5">
      <c r="A24" s="111">
        <f>IF('B-band Data Entry'!$D$20&gt;0.5,('B-band Data Entry'!$C$20+2415019)+((((HOUR('B-band Data Entry'!$D$20)*60)+MINUTE('B-band Data Entry'!$D$20))/1440+DAY('B-band Data Entry'!$C$20))-0.5)-DAY('B-band Data Entry'!$C$20),('B-band Data Entry'!$C$20+2415019)+((((HOUR('B-band Data Entry'!$D$20)*60)+MINUTE('B-band Data Entry'!$D$20))/1440+DAY('B-band Data Entry'!$C$20))-1.5)-DAY('B-band Data Entry'!$C$20)+1)</f>
        <v>2415018.5</v>
      </c>
      <c r="B24" s="111">
        <f t="shared" si="13"/>
        <v>2415018.5</v>
      </c>
      <c r="C24" s="138">
        <f>'B-band Data Entry'!D20*24</f>
        <v>0</v>
      </c>
      <c r="D24" s="111">
        <f t="shared" si="1"/>
        <v>-36526.5</v>
      </c>
      <c r="E24" s="111">
        <f t="shared" si="2"/>
        <v>-36526.5</v>
      </c>
      <c r="F24" s="111">
        <f t="shared" si="14"/>
        <v>-1.000041067761807</v>
      </c>
      <c r="G24" s="111">
        <f t="shared" si="15"/>
        <v>-2393.452500314467</v>
      </c>
      <c r="H24" s="111">
        <f t="shared" si="16"/>
        <v>-17.452500314467216</v>
      </c>
      <c r="I24" s="111">
        <f t="shared" si="6"/>
        <v>2059.264281</v>
      </c>
      <c r="J24" s="111">
        <f t="shared" si="7"/>
        <v>-35721.874725</v>
      </c>
      <c r="K24" s="111">
        <f t="shared" si="8"/>
        <v>23.4539106</v>
      </c>
      <c r="L24" s="111">
        <f t="shared" si="17"/>
        <v>0.0003201326153491532</v>
      </c>
      <c r="M24" s="111">
        <f t="shared" si="18"/>
        <v>-17.452206631036926</v>
      </c>
      <c r="N24" s="111">
        <f>M24-'Data Observer'!$F$10/15</f>
        <v>-17.452206631036926</v>
      </c>
      <c r="O24" s="111" t="e">
        <f>DEGREES(ASIN(((SIN(RADIANS('Data Observer'!$F$9))*SIN(RADIANS('V-band Data Entry'!$G$5)))+(COS(RADIANS('Data Observer'!$F$9))*COS(RADIANS('V-band Data Entry'!$G$5))*COS(RADIANS((N24-'V-band Data Entry'!$E$5)*15))))))</f>
        <v>#N/A</v>
      </c>
      <c r="P24" s="111" t="e">
        <f t="shared" si="11"/>
        <v>#N/A</v>
      </c>
      <c r="Q24" s="111" t="e">
        <f t="shared" si="12"/>
        <v>#N/A</v>
      </c>
      <c r="R24" s="111" t="e">
        <f>Q31</f>
        <v>#N/A</v>
      </c>
      <c r="S24" s="108"/>
      <c r="T24" s="108" t="s">
        <v>57</v>
      </c>
      <c r="U24" s="108">
        <f>(-0.00015*U21+35999.04975)*U21+358.475833</f>
        <v>2415076.9765320155</v>
      </c>
      <c r="V24" s="108"/>
      <c r="W24" s="108"/>
      <c r="X24" s="113" t="s">
        <v>33</v>
      </c>
      <c r="Y24" s="112" t="e">
        <f>'B-band Data Entry'!$K$30</f>
        <v>#DIV/0!</v>
      </c>
      <c r="Z24" s="112" t="e">
        <f>'B-band Data Entry'!$K$30</f>
        <v>#DIV/0!</v>
      </c>
      <c r="AA24" s="112" t="e">
        <f>'B-band Data Entry'!$K$30</f>
        <v>#DIV/0!</v>
      </c>
      <c r="AB24" s="112" t="e">
        <f>'B-band Data Entry'!$K$30</f>
        <v>#DIV/0!</v>
      </c>
      <c r="AC24" s="99"/>
    </row>
    <row r="25" spans="1:29" ht="13.5">
      <c r="A25" s="111">
        <f>IF('B-band Data Entry'!$D$22&gt;0.5,('B-band Data Entry'!$C$22+2415019)+((((HOUR('B-band Data Entry'!$D$22)*60)+MINUTE('B-band Data Entry'!$D$22))/1440+DAY('B-band Data Entry'!$C$22))-0.5)-DAY('B-band Data Entry'!$C$22),('B-band Data Entry'!$C$22+2415019)+((((HOUR('B-band Data Entry'!$D$22)*60)+MINUTE('B-band Data Entry'!$D$22))/1440+DAY('B-band Data Entry'!$C$22))-1.5)-DAY('B-band Data Entry'!$C$22)+1)</f>
        <v>2415018.5</v>
      </c>
      <c r="B25" s="111">
        <f t="shared" si="13"/>
        <v>2415018.5</v>
      </c>
      <c r="C25" s="138">
        <f>'B-band Data Entry'!D22*24</f>
        <v>0</v>
      </c>
      <c r="D25" s="111">
        <f t="shared" si="1"/>
        <v>-36526.5</v>
      </c>
      <c r="E25" s="111">
        <f t="shared" si="2"/>
        <v>-36526.5</v>
      </c>
      <c r="F25" s="111">
        <f t="shared" si="14"/>
        <v>-1.000041067761807</v>
      </c>
      <c r="G25" s="111">
        <f t="shared" si="15"/>
        <v>-2393.452500314467</v>
      </c>
      <c r="H25" s="111">
        <f t="shared" si="16"/>
        <v>-17.452500314467216</v>
      </c>
      <c r="I25" s="111">
        <f t="shared" si="6"/>
        <v>2059.264281</v>
      </c>
      <c r="J25" s="111">
        <f t="shared" si="7"/>
        <v>-35721.874725</v>
      </c>
      <c r="K25" s="111">
        <f t="shared" si="8"/>
        <v>23.4539106</v>
      </c>
      <c r="L25" s="111">
        <f t="shared" si="17"/>
        <v>0.0003201326153491532</v>
      </c>
      <c r="M25" s="111">
        <f t="shared" si="18"/>
        <v>-17.452206631036926</v>
      </c>
      <c r="N25" s="111">
        <f>M25-'Data Observer'!$F$10/15</f>
        <v>-17.452206631036926</v>
      </c>
      <c r="O25" s="111" t="e">
        <f>DEGREES(ASIN((SIN(RADIANS('Data Observer'!$F$9))*SIN(RADIANS('V-band Data Entry'!$G$6)))+(COS(RADIANS('Data Observer'!$F$9))*COS(RADIANS('V-band Data Entry'!$G$6))*COS(RADIANS((N25-'V-band Data Entry'!$E$6))*15))))</f>
        <v>#N/A</v>
      </c>
      <c r="P25" s="111" t="e">
        <f t="shared" si="11"/>
        <v>#N/A</v>
      </c>
      <c r="Q25" s="111" t="e">
        <f t="shared" si="12"/>
        <v>#N/A</v>
      </c>
      <c r="R25" s="111"/>
      <c r="S25" s="108"/>
      <c r="T25" s="108" t="s">
        <v>56</v>
      </c>
      <c r="U25" s="108">
        <f>U19*U23/180</f>
        <v>42150.071839351054</v>
      </c>
      <c r="V25" s="108"/>
      <c r="W25" s="108"/>
      <c r="X25" s="113" t="s">
        <v>34</v>
      </c>
      <c r="Y25" s="112" t="e">
        <f>'B-band Data Entry'!$K$31</f>
        <v>#DIV/0!</v>
      </c>
      <c r="Z25" s="112" t="e">
        <f>'B-band Data Entry'!$K$31</f>
        <v>#DIV/0!</v>
      </c>
      <c r="AA25" s="112" t="e">
        <f>'B-band Data Entry'!$K$31</f>
        <v>#DIV/0!</v>
      </c>
      <c r="AB25" s="112" t="e">
        <f>'B-band Data Entry'!$K$31</f>
        <v>#DIV/0!</v>
      </c>
      <c r="AC25" s="99"/>
    </row>
    <row r="26" spans="1:28" ht="13.5">
      <c r="A26" s="111">
        <f>IF('B-band Data Entry'!$D$24&gt;0.5,('B-band Data Entry'!$C$24+2415019)+((((HOUR('B-band Data Entry'!$D$24)*60)+MINUTE('B-band Data Entry'!$D$24))/1440+DAY('B-band Data Entry'!$C$24))-0.5)-DAY('B-band Data Entry'!$C$24),('B-band Data Entry'!$C$24+2415019)+((((HOUR('B-band Data Entry'!$D$24)*60)+MINUTE('B-band Data Entry'!$D$24))/1440+DAY('B-band Data Entry'!$C$24))-1.5)-DAY('B-band Data Entry'!$C$24)+1)</f>
        <v>2415018.5</v>
      </c>
      <c r="B26" s="111">
        <f t="shared" si="13"/>
        <v>2415018.5</v>
      </c>
      <c r="C26" s="138">
        <f>'B-band Data Entry'!D24*24</f>
        <v>0</v>
      </c>
      <c r="D26" s="111">
        <f t="shared" si="1"/>
        <v>-36526.5</v>
      </c>
      <c r="E26" s="111">
        <f t="shared" si="2"/>
        <v>-36526.5</v>
      </c>
      <c r="F26" s="111">
        <f t="shared" si="14"/>
        <v>-1.000041067761807</v>
      </c>
      <c r="G26" s="111">
        <f t="shared" si="15"/>
        <v>-2393.452500314467</v>
      </c>
      <c r="H26" s="111">
        <f t="shared" si="16"/>
        <v>-17.452500314467216</v>
      </c>
      <c r="I26" s="111">
        <f t="shared" si="6"/>
        <v>2059.264281</v>
      </c>
      <c r="J26" s="111">
        <f t="shared" si="7"/>
        <v>-35721.874725</v>
      </c>
      <c r="K26" s="111">
        <f t="shared" si="8"/>
        <v>23.4539106</v>
      </c>
      <c r="L26" s="111">
        <f t="shared" si="17"/>
        <v>0.0003201326153491532</v>
      </c>
      <c r="M26" s="111">
        <f t="shared" si="18"/>
        <v>-17.452206631036926</v>
      </c>
      <c r="N26" s="111">
        <f>M26-'Data Observer'!$F$10/15</f>
        <v>-17.452206631036926</v>
      </c>
      <c r="O26" s="111" t="e">
        <f>DEGREES(ASIN(((SIN(RADIANS('Data Observer'!$F$9))*SIN(RADIANS('V-band Data Entry'!$G$7)))+(COS(RADIANS('Data Observer'!$F$9))*COS(RADIANS('V-band Data Entry'!$G$7))*COS(RADIANS((N26-'V-band Data Entry'!$E$7)*15))))))</f>
        <v>#N/A</v>
      </c>
      <c r="P26" s="111" t="e">
        <f t="shared" si="11"/>
        <v>#N/A</v>
      </c>
      <c r="Q26" s="111" t="e">
        <f t="shared" si="12"/>
        <v>#N/A</v>
      </c>
      <c r="R26" s="111"/>
      <c r="S26" s="108"/>
      <c r="T26" s="108" t="s">
        <v>57</v>
      </c>
      <c r="U26" s="108">
        <f>U19*U24/180</f>
        <v>42151.044929593496</v>
      </c>
      <c r="V26" s="108"/>
      <c r="W26" s="108"/>
      <c r="X26" s="108"/>
      <c r="Y26" s="153"/>
      <c r="Z26" s="108"/>
      <c r="AA26" s="108"/>
      <c r="AB26" s="108"/>
    </row>
    <row r="27" spans="1:29" ht="13.5">
      <c r="A27" s="111">
        <f>IF('B-band Data Entry'!$D$26&gt;0.5,('B-band Data Entry'!$C$26+2415019)+((((HOUR('B-band Data Entry'!$D$26)*60)+MINUTE('B-band Data Entry'!$D$26))/1440+DAY('B-band Data Entry'!$C$26))-0.5)-DAY('B-band Data Entry'!$C$26),('B-band Data Entry'!$C$26+2415019)+((((HOUR('B-band Data Entry'!$D$26)*60)+MINUTE('B-band Data Entry'!$D$26))/1440+DAY('B-band Data Entry'!$C$26))-1.5)-DAY('B-band Data Entry'!$C$26)+1)</f>
        <v>2415018.5</v>
      </c>
      <c r="B27" s="111">
        <f t="shared" si="13"/>
        <v>2415018.5</v>
      </c>
      <c r="C27" s="138">
        <f>'B-band Data Entry'!D26*24</f>
        <v>0</v>
      </c>
      <c r="D27" s="111">
        <f t="shared" si="1"/>
        <v>-36526.5</v>
      </c>
      <c r="E27" s="111">
        <f t="shared" si="2"/>
        <v>-36526.5</v>
      </c>
      <c r="F27" s="111">
        <f t="shared" si="14"/>
        <v>-1.000041067761807</v>
      </c>
      <c r="G27" s="111">
        <f t="shared" si="15"/>
        <v>-2393.452500314467</v>
      </c>
      <c r="H27" s="111">
        <f t="shared" si="16"/>
        <v>-17.452500314467216</v>
      </c>
      <c r="I27" s="111">
        <f t="shared" si="6"/>
        <v>2059.264281</v>
      </c>
      <c r="J27" s="111">
        <f t="shared" si="7"/>
        <v>-35721.874725</v>
      </c>
      <c r="K27" s="111">
        <f t="shared" si="8"/>
        <v>23.4539106</v>
      </c>
      <c r="L27" s="111">
        <f t="shared" si="17"/>
        <v>0.0003201326153491532</v>
      </c>
      <c r="M27" s="111">
        <f t="shared" si="18"/>
        <v>-17.452206631036926</v>
      </c>
      <c r="N27" s="111">
        <f>M27-'Data Observer'!$F$10/15</f>
        <v>-17.452206631036926</v>
      </c>
      <c r="O27" s="111" t="e">
        <f>DEGREES(ASIN((SIN(RADIANS('Data Observer'!$F$9))*SIN(RADIANS('V-band Data Entry'!$G$6)))+(COS(RADIANS('Data Observer'!$F$9))*COS(RADIANS('V-band Data Entry'!$G$6))*COS(RADIANS((N27-'V-band Data Entry'!$E$6))*15))))</f>
        <v>#N/A</v>
      </c>
      <c r="P27" s="111" t="e">
        <f t="shared" si="11"/>
        <v>#N/A</v>
      </c>
      <c r="Q27" s="111" t="e">
        <f t="shared" si="12"/>
        <v>#N/A</v>
      </c>
      <c r="R27" s="111"/>
      <c r="S27" s="108"/>
      <c r="T27" s="108" t="s">
        <v>58</v>
      </c>
      <c r="U27" s="108">
        <f>0.99986*COS(U25)-0.025127*COS(U26-U25)+0.008374*COS(U26+U25)</f>
        <v>-0.7858406444119536</v>
      </c>
      <c r="V27" s="108"/>
      <c r="W27" s="108"/>
      <c r="X27" s="160"/>
      <c r="Y27" s="153"/>
      <c r="Z27" s="108"/>
      <c r="AA27" s="108"/>
      <c r="AB27" s="108"/>
      <c r="AC27" s="99"/>
    </row>
    <row r="28" spans="1:29" ht="13.5">
      <c r="A28" s="108"/>
      <c r="B28" s="108"/>
      <c r="C28" s="108"/>
      <c r="D28" s="108"/>
      <c r="E28" s="108"/>
      <c r="F28" s="108"/>
      <c r="G28" s="108"/>
      <c r="H28" s="108"/>
      <c r="I28" s="108"/>
      <c r="J28" s="108"/>
      <c r="K28" s="108"/>
      <c r="L28" s="108"/>
      <c r="M28" s="108"/>
      <c r="N28" s="111"/>
      <c r="O28" s="111"/>
      <c r="P28" s="111"/>
      <c r="Q28" s="111"/>
      <c r="R28" s="111"/>
      <c r="S28" s="108"/>
      <c r="T28" s="108" t="s">
        <v>58</v>
      </c>
      <c r="U28" s="108">
        <f>U27+0.000105*COS(2*U26+U25)+0.000063*U21*COS(U26-U25)+0.000035*COS(2*U26-U25)</f>
        <v>-0.7835775639025075</v>
      </c>
      <c r="V28" s="108"/>
      <c r="W28" s="108"/>
      <c r="X28" s="160"/>
      <c r="Y28" s="153"/>
      <c r="Z28" s="108"/>
      <c r="AA28" s="108"/>
      <c r="AB28" s="108"/>
      <c r="AC28" s="99"/>
    </row>
    <row r="29" spans="1:29" ht="13.5" hidden="1">
      <c r="A29" s="111"/>
      <c r="B29" s="111"/>
      <c r="C29" s="111"/>
      <c r="D29" s="111"/>
      <c r="E29" s="111"/>
      <c r="F29" s="111"/>
      <c r="G29" s="111"/>
      <c r="H29" s="186"/>
      <c r="I29" s="111"/>
      <c r="J29" s="111"/>
      <c r="K29" s="111"/>
      <c r="L29" s="111"/>
      <c r="M29" s="111"/>
      <c r="N29" s="111">
        <f>N20</f>
        <v>-17.452206631036926</v>
      </c>
      <c r="O29" s="111" t="e">
        <f>DEGREES(ASIN((SIN(RADIANS('Data Observer'!$F$9))*SIN(RADIANS('V-band Data Entry'!$G$6)))+(COS(RADIANS('Data Observer'!$F$9))*COS(RADIANS('V-band Data Entry'!$G$6))*COS(RADIANS((N20-'V-band Data Entry'!$E$6)*15)))))</f>
        <v>#N/A</v>
      </c>
      <c r="P29" s="111" t="e">
        <f t="shared" si="11"/>
        <v>#N/A</v>
      </c>
      <c r="Q29" s="111" t="e">
        <f t="shared" si="12"/>
        <v>#N/A</v>
      </c>
      <c r="R29" s="111"/>
      <c r="S29" s="108"/>
      <c r="T29" s="108" t="s">
        <v>59</v>
      </c>
      <c r="U29" s="108">
        <f>0.917308*SIN(U25)+0.023053*SIN(U26-U25)+0.007683*SIN(U26+U25)</f>
        <v>0.5907099976172343</v>
      </c>
      <c r="V29" s="108"/>
      <c r="W29" s="108"/>
      <c r="X29" s="160"/>
      <c r="Y29" s="153"/>
      <c r="Z29" s="108"/>
      <c r="AA29" s="108"/>
      <c r="AB29" s="108"/>
      <c r="AC29" s="99"/>
    </row>
    <row r="30" spans="1:29" ht="13.5" hidden="1">
      <c r="A30" s="111"/>
      <c r="B30" s="111"/>
      <c r="C30" s="111"/>
      <c r="D30" s="111"/>
      <c r="E30" s="111"/>
      <c r="F30" s="111"/>
      <c r="G30" s="111"/>
      <c r="H30" s="111"/>
      <c r="I30" s="111"/>
      <c r="J30" s="111"/>
      <c r="K30" s="111"/>
      <c r="L30" s="111"/>
      <c r="M30" s="111"/>
      <c r="N30" s="111">
        <f>N22</f>
        <v>-17.452206631036926</v>
      </c>
      <c r="O30" s="111" t="e">
        <f>DEGREES(ASIN((SIN(RADIANS('Data Observer'!$F$9))*SIN(RADIANS('V-band Data Entry'!$G$6)))+(COS(RADIANS('Data Observer'!$F$9))*COS(RADIANS('V-band Data Entry'!$G$6))*COS(RADIANS((N22-'V-band Data Entry'!$E$6)*15)))))</f>
        <v>#N/A</v>
      </c>
      <c r="P30" s="111" t="e">
        <f t="shared" si="11"/>
        <v>#N/A</v>
      </c>
      <c r="Q30" s="111" t="e">
        <f t="shared" si="12"/>
        <v>#N/A</v>
      </c>
      <c r="R30" s="111"/>
      <c r="S30" s="108"/>
      <c r="T30" s="108" t="s">
        <v>59</v>
      </c>
      <c r="U30" s="108">
        <f>U29+0.000097*SIN(2*U26+U25)-0.000057*U21*SIN(U26-U25)-0.000032*SIN(2*U26-U25)</f>
        <v>0.5875881755766421</v>
      </c>
      <c r="V30" s="108"/>
      <c r="W30" s="108"/>
      <c r="X30" s="160"/>
      <c r="Y30" s="153"/>
      <c r="Z30" s="108"/>
      <c r="AA30" s="108"/>
      <c r="AB30" s="108"/>
      <c r="AC30" s="99"/>
    </row>
    <row r="31" spans="1:29" ht="13.5" hidden="1">
      <c r="A31" s="111"/>
      <c r="B31" s="111"/>
      <c r="C31" s="111"/>
      <c r="D31" s="111"/>
      <c r="E31" s="111"/>
      <c r="F31" s="111"/>
      <c r="G31" s="111"/>
      <c r="H31" s="111"/>
      <c r="I31" s="111"/>
      <c r="J31" s="111"/>
      <c r="K31" s="111"/>
      <c r="L31" s="111"/>
      <c r="M31" s="111"/>
      <c r="N31" s="111">
        <f>N24</f>
        <v>-17.452206631036926</v>
      </c>
      <c r="O31" s="111" t="e">
        <f>DEGREES(ASIN((SIN(RADIANS('Data Observer'!$F$9))*SIN(RADIANS('V-band Data Entry'!$G$6)))+(COS(RADIANS('Data Observer'!$F$9))*COS(RADIANS('V-band Data Entry'!$G$6))*COS(RADIANS((N24-'V-band Data Entry'!$E$6)*15)))))</f>
        <v>#N/A</v>
      </c>
      <c r="P31" s="111" t="e">
        <f t="shared" si="11"/>
        <v>#N/A</v>
      </c>
      <c r="Q31" s="111" t="e">
        <f t="shared" si="12"/>
        <v>#N/A</v>
      </c>
      <c r="R31" s="111"/>
      <c r="S31" s="108"/>
      <c r="T31" s="108" t="s">
        <v>60</v>
      </c>
      <c r="U31" s="108" t="e">
        <f>'B-band Data Entry'!$E$5*U19/12</f>
        <v>#N/A</v>
      </c>
      <c r="V31" s="108"/>
      <c r="W31" s="108"/>
      <c r="X31" s="160"/>
      <c r="Y31" s="153"/>
      <c r="Z31" s="108"/>
      <c r="AA31" s="108"/>
      <c r="AB31" s="108"/>
      <c r="AC31" s="99"/>
    </row>
    <row r="32" spans="1:29" ht="13.5">
      <c r="A32" s="108" t="s">
        <v>1391</v>
      </c>
      <c r="B32" s="108"/>
      <c r="C32" s="108"/>
      <c r="D32" s="108"/>
      <c r="E32" s="108"/>
      <c r="F32" s="108"/>
      <c r="G32" s="108"/>
      <c r="H32" s="108"/>
      <c r="I32" s="108"/>
      <c r="J32" s="108"/>
      <c r="K32" s="108"/>
      <c r="L32" s="108"/>
      <c r="M32" s="108"/>
      <c r="N32" s="111"/>
      <c r="O32" s="111"/>
      <c r="P32" s="111"/>
      <c r="Q32" s="111"/>
      <c r="R32" s="111"/>
      <c r="S32" s="108"/>
      <c r="T32" s="108" t="s">
        <v>61</v>
      </c>
      <c r="U32" s="108" t="e">
        <f>'B-band Data Entry'!$G$5*U19/180</f>
        <v>#N/A</v>
      </c>
      <c r="V32" s="108"/>
      <c r="W32" s="108"/>
      <c r="X32" s="160"/>
      <c r="Y32" s="153"/>
      <c r="Z32" s="108"/>
      <c r="AA32" s="108"/>
      <c r="AB32" s="108"/>
      <c r="AC32" s="99"/>
    </row>
    <row r="33" spans="1:29" ht="13.5">
      <c r="A33" s="108"/>
      <c r="B33" s="108"/>
      <c r="C33" s="108"/>
      <c r="D33" s="108"/>
      <c r="E33" s="108"/>
      <c r="F33" s="108"/>
      <c r="G33" s="108"/>
      <c r="H33" s="108"/>
      <c r="I33" s="108"/>
      <c r="J33" s="108"/>
      <c r="K33" s="108"/>
      <c r="L33" s="108"/>
      <c r="M33" s="108"/>
      <c r="N33" s="111"/>
      <c r="O33" s="111"/>
      <c r="P33" s="111"/>
      <c r="Q33" s="111"/>
      <c r="R33" s="111"/>
      <c r="S33" s="108"/>
      <c r="T33" s="108" t="s">
        <v>62</v>
      </c>
      <c r="U33" s="108" t="e">
        <f>-0.0057755*(COS(U32)*COS(U31)*U28+(TAN(U20)*SIN(U32)+COS(U32)*SIN(U31))*U30)</f>
        <v>#N/A</v>
      </c>
      <c r="V33" s="108"/>
      <c r="W33" s="108"/>
      <c r="X33" s="160"/>
      <c r="Y33" s="153"/>
      <c r="Z33" s="108"/>
      <c r="AA33" s="108"/>
      <c r="AB33" s="108"/>
      <c r="AC33" s="99"/>
    </row>
    <row r="34" ht="13.5">
      <c r="AC34" s="99"/>
    </row>
    <row r="35" spans="24:29" ht="13.5">
      <c r="X35" s="91" t="s">
        <v>1259</v>
      </c>
      <c r="Y35" s="116"/>
      <c r="AC35" s="99"/>
    </row>
    <row r="36" spans="24:29" ht="13.5">
      <c r="X36" s="98" t="s">
        <v>1366</v>
      </c>
      <c r="Y36" s="96" t="e">
        <f>'V-band Data Entry'!$N$24</f>
        <v>#DIV/0!</v>
      </c>
      <c r="AC36" s="99"/>
    </row>
    <row r="37" spans="24:29" ht="13.5">
      <c r="X37" s="100" t="s">
        <v>1198</v>
      </c>
      <c r="Y37" s="96" t="e">
        <f>Y36+'V-band Data Entry'!$K$6</f>
        <v>#DIV/0!</v>
      </c>
      <c r="AC37" s="99"/>
    </row>
    <row r="38" spans="24:29" ht="13.5">
      <c r="X38" s="105"/>
      <c r="Y38" s="106"/>
      <c r="AC38" s="99"/>
    </row>
    <row r="39" spans="24:29" ht="13.5">
      <c r="X39" s="109" t="s">
        <v>1260</v>
      </c>
      <c r="Y39" s="117"/>
      <c r="AC39" s="99"/>
    </row>
    <row r="40" spans="20:29" ht="13.5">
      <c r="T40" s="102"/>
      <c r="X40" s="113" t="s">
        <v>1367</v>
      </c>
      <c r="Y40" s="112" t="e">
        <f>'B-band Data Entry'!$N$24</f>
        <v>#DIV/0!</v>
      </c>
      <c r="AC40" s="99"/>
    </row>
    <row r="41" spans="20:29" ht="13.5">
      <c r="T41" s="102"/>
      <c r="X41" s="114" t="s">
        <v>1198</v>
      </c>
      <c r="Y41" s="112" t="e">
        <f>Y40+'B-band Data Entry'!$K$6</f>
        <v>#DIV/0!</v>
      </c>
      <c r="AC41" s="99"/>
    </row>
    <row r="42" spans="20:25" ht="13.5">
      <c r="T42" s="102"/>
      <c r="Y42" s="106"/>
    </row>
    <row r="44" ht="13.5">
      <c r="Z44" s="163"/>
    </row>
  </sheetData>
  <sheetProtection sheet="1" objects="1" scenarios="1" selectLockedCells="1" selectUnlockedCells="1"/>
  <printOptions/>
  <pageMargins left="0.75" right="0.75" top="1" bottom="1" header="0.3" footer="0.3"/>
  <pageSetup orientation="portrait" paperSize="9"/>
</worksheet>
</file>

<file path=xl/worksheets/sheet5.xml><?xml version="1.0" encoding="utf-8"?>
<worksheet xmlns="http://schemas.openxmlformats.org/spreadsheetml/2006/main" xmlns:r="http://schemas.openxmlformats.org/officeDocument/2006/relationships">
  <dimension ref="A1:R239"/>
  <sheetViews>
    <sheetView zoomScalePageLayoutView="0" workbookViewId="0" topLeftCell="A1">
      <pane ySplit="1" topLeftCell="A207" activePane="bottomLeft" state="frozen"/>
      <selection pane="topLeft" activeCell="A1" sqref="A1"/>
      <selection pane="bottomLeft" activeCell="J240" sqref="J240"/>
    </sheetView>
  </sheetViews>
  <sheetFormatPr defaultColWidth="11.57421875" defaultRowHeight="12.75"/>
  <cols>
    <col min="1" max="1" width="13.7109375" style="17" bestFit="1" customWidth="1"/>
    <col min="2" max="2" width="11.7109375" style="17" bestFit="1" customWidth="1"/>
    <col min="3" max="3" width="10.7109375" style="39" bestFit="1" customWidth="1"/>
    <col min="4" max="4" width="13.8515625" style="30" customWidth="1"/>
    <col min="5" max="5" width="14.421875" style="30" bestFit="1" customWidth="1"/>
    <col min="6" max="6" width="10.7109375" style="31" bestFit="1" customWidth="1"/>
    <col min="7" max="7" width="10.140625" style="31" bestFit="1" customWidth="1"/>
    <col min="8" max="8" width="12.00390625" style="17" bestFit="1" customWidth="1"/>
    <col min="9" max="9" width="10.7109375" style="29" bestFit="1" customWidth="1"/>
    <col min="10" max="10" width="13.8515625" style="30" bestFit="1" customWidth="1"/>
    <col min="11" max="11" width="14.7109375" style="30" bestFit="1" customWidth="1"/>
    <col min="12" max="12" width="8.140625" style="32" bestFit="1" customWidth="1"/>
    <col min="13" max="13" width="10.140625" style="17" bestFit="1" customWidth="1"/>
    <col min="14" max="14" width="10.7109375" style="30" bestFit="1" customWidth="1"/>
    <col min="15" max="15" width="14.140625" style="30" bestFit="1" customWidth="1"/>
    <col min="16" max="16" width="14.421875" style="30" bestFit="1" customWidth="1"/>
    <col min="17" max="17" width="8.421875" style="32" bestFit="1" customWidth="1"/>
    <col min="18" max="16384" width="11.421875" style="17" customWidth="1"/>
  </cols>
  <sheetData>
    <row r="1" spans="1:18" s="25" customFormat="1" ht="12.75" customHeight="1">
      <c r="A1" s="25" t="s">
        <v>21</v>
      </c>
      <c r="B1" s="25" t="s">
        <v>496</v>
      </c>
      <c r="C1" s="38" t="s">
        <v>712</v>
      </c>
      <c r="D1" s="26" t="s">
        <v>22</v>
      </c>
      <c r="E1" s="26" t="s">
        <v>23</v>
      </c>
      <c r="F1" s="27" t="s">
        <v>1110</v>
      </c>
      <c r="G1" s="27" t="s">
        <v>1204</v>
      </c>
      <c r="H1" s="27" t="s">
        <v>1109</v>
      </c>
      <c r="I1" s="25" t="s">
        <v>14</v>
      </c>
      <c r="J1" s="26" t="s">
        <v>24</v>
      </c>
      <c r="K1" s="26" t="s">
        <v>25</v>
      </c>
      <c r="L1" s="28" t="s">
        <v>26</v>
      </c>
      <c r="M1" s="28" t="s">
        <v>27</v>
      </c>
      <c r="N1" s="25" t="s">
        <v>18</v>
      </c>
      <c r="O1" s="26" t="s">
        <v>28</v>
      </c>
      <c r="P1" s="26" t="s">
        <v>29</v>
      </c>
      <c r="Q1" s="28" t="s">
        <v>30</v>
      </c>
      <c r="R1" s="146" t="s">
        <v>1355</v>
      </c>
    </row>
    <row r="2" spans="1:18" ht="13.5">
      <c r="A2" t="s">
        <v>277</v>
      </c>
      <c r="B2" t="s">
        <v>494</v>
      </c>
      <c r="C2" t="s">
        <v>710</v>
      </c>
      <c r="D2" s="189">
        <v>0.03267191666666666</v>
      </c>
      <c r="E2" s="189">
        <v>-6.0140722222222225</v>
      </c>
      <c r="F2" t="s">
        <v>1111</v>
      </c>
      <c r="G2">
        <v>4.401</v>
      </c>
      <c r="H2">
        <v>1.633</v>
      </c>
      <c r="I2" t="s">
        <v>906</v>
      </c>
      <c r="J2" s="189">
        <v>23.977882638888886</v>
      </c>
      <c r="K2" s="189">
        <v>-3.5559833333333333</v>
      </c>
      <c r="L2">
        <v>4.857</v>
      </c>
      <c r="M2">
        <v>0.93</v>
      </c>
      <c r="N2" t="s">
        <v>1100</v>
      </c>
      <c r="O2" s="189">
        <v>23.8821015</v>
      </c>
      <c r="P2" s="189">
        <v>-3.1554816666666667</v>
      </c>
      <c r="Q2">
        <v>5.928</v>
      </c>
      <c r="R2">
        <v>0.703</v>
      </c>
    </row>
    <row r="3" spans="1:18" ht="12.75" customHeight="1">
      <c r="A3" t="s">
        <v>63</v>
      </c>
      <c r="B3" t="s">
        <v>279</v>
      </c>
      <c r="C3" t="s">
        <v>713</v>
      </c>
      <c r="D3" s="189">
        <v>0.24100783333333334</v>
      </c>
      <c r="E3" s="189">
        <v>-7.780532222222222</v>
      </c>
      <c r="F3" t="s">
        <v>1111</v>
      </c>
      <c r="G3">
        <v>5.125</v>
      </c>
      <c r="H3">
        <v>1.594</v>
      </c>
      <c r="I3" t="s">
        <v>715</v>
      </c>
      <c r="J3" s="189">
        <v>0.1382034722222222</v>
      </c>
      <c r="K3" s="189">
        <v>-8.824112222222222</v>
      </c>
      <c r="L3">
        <v>5.985</v>
      </c>
      <c r="M3">
        <v>1.035</v>
      </c>
      <c r="N3" t="s">
        <v>908</v>
      </c>
      <c r="O3" s="189">
        <v>0.17190827777777776</v>
      </c>
      <c r="P3" s="189">
        <v>-5.248587777777778</v>
      </c>
      <c r="Q3">
        <v>5.835</v>
      </c>
      <c r="R3">
        <v>0.559</v>
      </c>
    </row>
    <row r="4" spans="1:18" ht="13.5">
      <c r="A4" t="s">
        <v>65</v>
      </c>
      <c r="B4" t="s">
        <v>281</v>
      </c>
      <c r="C4" t="s">
        <v>497</v>
      </c>
      <c r="D4" s="189">
        <v>0.24337902777777778</v>
      </c>
      <c r="E4" s="189">
        <v>20.206701666666667</v>
      </c>
      <c r="F4" t="s">
        <v>1112</v>
      </c>
      <c r="G4">
        <v>4.796</v>
      </c>
      <c r="H4">
        <v>1.573</v>
      </c>
      <c r="I4" t="s">
        <v>717</v>
      </c>
      <c r="J4" s="189">
        <v>0.15067352777777776</v>
      </c>
      <c r="K4" s="189">
        <v>18.211963055555554</v>
      </c>
      <c r="L4">
        <v>5.532</v>
      </c>
      <c r="M4">
        <v>1.038</v>
      </c>
      <c r="N4" t="s">
        <v>910</v>
      </c>
      <c r="O4" s="189">
        <v>0.5431905277777778</v>
      </c>
      <c r="P4" s="189">
        <v>20.29431638888889</v>
      </c>
      <c r="Q4">
        <v>5.367</v>
      </c>
      <c r="R4">
        <v>0.535</v>
      </c>
    </row>
    <row r="5" spans="1:18" ht="13.5">
      <c r="A5" t="s">
        <v>66</v>
      </c>
      <c r="B5" t="s">
        <v>282</v>
      </c>
      <c r="C5" t="s">
        <v>498</v>
      </c>
      <c r="D5" s="189">
        <v>0.3628538055555555</v>
      </c>
      <c r="E5" s="189">
        <v>-20.05802361111111</v>
      </c>
      <c r="F5" t="s">
        <v>1113</v>
      </c>
      <c r="G5">
        <v>5.334</v>
      </c>
      <c r="H5">
        <v>1.806</v>
      </c>
      <c r="I5" t="s">
        <v>718</v>
      </c>
      <c r="J5" s="189">
        <v>0.47252669444444445</v>
      </c>
      <c r="K5" s="189">
        <v>-20.335050555555554</v>
      </c>
      <c r="L5">
        <v>6.417</v>
      </c>
      <c r="M5">
        <v>0.595</v>
      </c>
      <c r="N5" t="s">
        <v>911</v>
      </c>
      <c r="O5" s="189">
        <v>0.29241752777777774</v>
      </c>
      <c r="P5" s="189">
        <v>-19.051091666666668</v>
      </c>
      <c r="Q5">
        <v>6.445</v>
      </c>
      <c r="R5">
        <v>1.211</v>
      </c>
    </row>
    <row r="6" spans="1:18" ht="13.5">
      <c r="A6" t="s">
        <v>67</v>
      </c>
      <c r="B6" t="s">
        <v>283</v>
      </c>
      <c r="C6" t="s">
        <v>499</v>
      </c>
      <c r="D6" s="189">
        <v>0.4387353888888889</v>
      </c>
      <c r="E6" s="189">
        <v>51.280361388888885</v>
      </c>
      <c r="F6" t="s">
        <v>1304</v>
      </c>
      <c r="G6">
        <v>7.177</v>
      </c>
      <c r="H6">
        <v>0.35</v>
      </c>
      <c r="I6" t="s">
        <v>719</v>
      </c>
      <c r="J6" s="189">
        <v>0.4644950277777778</v>
      </c>
      <c r="K6" s="189">
        <v>50.912349722222224</v>
      </c>
      <c r="L6">
        <v>8.946</v>
      </c>
      <c r="M6">
        <v>0.57</v>
      </c>
      <c r="N6" t="s">
        <v>912</v>
      </c>
      <c r="O6" s="189">
        <v>0.5871588055555556</v>
      </c>
      <c r="P6" s="189">
        <v>51.83822083333334</v>
      </c>
      <c r="Q6">
        <v>7.38</v>
      </c>
      <c r="R6">
        <v>0.22</v>
      </c>
    </row>
    <row r="7" spans="1:18" ht="13.5">
      <c r="A7" t="s">
        <v>64</v>
      </c>
      <c r="B7" t="s">
        <v>280</v>
      </c>
      <c r="C7" t="s">
        <v>714</v>
      </c>
      <c r="D7" s="189">
        <v>0.46681869444444446</v>
      </c>
      <c r="E7" s="189">
        <v>-11.6588025</v>
      </c>
      <c r="F7" t="s">
        <v>1114</v>
      </c>
      <c r="G7">
        <v>7.25</v>
      </c>
      <c r="H7">
        <v>1.42</v>
      </c>
      <c r="I7" t="s">
        <v>716</v>
      </c>
      <c r="J7" s="189">
        <v>0.2467248611111111</v>
      </c>
      <c r="K7" s="189">
        <v>-14.177698888888889</v>
      </c>
      <c r="L7">
        <v>6.811</v>
      </c>
      <c r="M7">
        <v>0.268</v>
      </c>
      <c r="N7" t="s">
        <v>909</v>
      </c>
      <c r="O7" s="189">
        <v>0.3810523055555555</v>
      </c>
      <c r="P7" s="189">
        <v>-12.209438055555555</v>
      </c>
      <c r="Q7">
        <v>6.389</v>
      </c>
      <c r="R7">
        <v>1.152</v>
      </c>
    </row>
    <row r="8" spans="1:18" ht="13.5">
      <c r="A8" t="s">
        <v>68</v>
      </c>
      <c r="B8" t="s">
        <v>284</v>
      </c>
      <c r="C8" t="s">
        <v>500</v>
      </c>
      <c r="D8" s="189">
        <v>0.46747638888888887</v>
      </c>
      <c r="E8" s="189">
        <v>17.893124722222222</v>
      </c>
      <c r="F8" t="s">
        <v>1111</v>
      </c>
      <c r="G8">
        <v>4.916</v>
      </c>
      <c r="H8">
        <v>1.654</v>
      </c>
      <c r="I8" t="s">
        <v>720</v>
      </c>
      <c r="J8" s="189">
        <v>0.4701955277777778</v>
      </c>
      <c r="K8" s="189">
        <v>16.445065555555555</v>
      </c>
      <c r="L8">
        <v>6.06</v>
      </c>
      <c r="M8">
        <v>1.58</v>
      </c>
      <c r="N8" t="s">
        <v>913</v>
      </c>
      <c r="O8" s="189">
        <v>0.4662405277777778</v>
      </c>
      <c r="P8" s="189">
        <v>19.514038888888887</v>
      </c>
      <c r="Q8">
        <v>6.38</v>
      </c>
      <c r="R8">
        <v>0.074</v>
      </c>
    </row>
    <row r="9" spans="1:18" ht="13.5">
      <c r="A9" t="s">
        <v>1205</v>
      </c>
      <c r="B9" t="s">
        <v>1206</v>
      </c>
      <c r="C9" t="s">
        <v>1207</v>
      </c>
      <c r="D9" s="189">
        <v>0.6751111111111111</v>
      </c>
      <c r="E9" s="189">
        <v>56.53722222222222</v>
      </c>
      <c r="F9" t="s">
        <v>1208</v>
      </c>
      <c r="G9">
        <v>2.225</v>
      </c>
      <c r="H9">
        <v>1.168</v>
      </c>
      <c r="I9" t="s">
        <v>1209</v>
      </c>
      <c r="J9" s="189">
        <v>0.9444166666666667</v>
      </c>
      <c r="K9" s="189">
        <v>59.18111111111111</v>
      </c>
      <c r="L9">
        <v>4.629</v>
      </c>
      <c r="M9">
        <v>0.956</v>
      </c>
      <c r="N9" t="s">
        <v>1210</v>
      </c>
      <c r="O9" s="189">
        <v>1.6332222222222224</v>
      </c>
      <c r="P9" s="189">
        <v>48.62833333333333</v>
      </c>
      <c r="Q9">
        <v>3.572</v>
      </c>
      <c r="R9">
        <v>0.212</v>
      </c>
    </row>
    <row r="10" spans="1:18" ht="13.5">
      <c r="A10" t="s">
        <v>69</v>
      </c>
      <c r="B10" t="s">
        <v>285</v>
      </c>
      <c r="C10" t="s">
        <v>501</v>
      </c>
      <c r="D10" s="189">
        <v>0.7436630277777777</v>
      </c>
      <c r="E10" s="189">
        <v>40.679363055555555</v>
      </c>
      <c r="F10" t="s">
        <v>1115</v>
      </c>
      <c r="G10">
        <v>7.2</v>
      </c>
      <c r="H10">
        <v>1.675</v>
      </c>
      <c r="I10" t="s">
        <v>721</v>
      </c>
      <c r="J10" s="189">
        <v>0.6803526666666666</v>
      </c>
      <c r="K10" s="189">
        <v>40.18717333333333</v>
      </c>
      <c r="L10">
        <v>7.364</v>
      </c>
      <c r="M10">
        <v>0.94</v>
      </c>
      <c r="N10" t="s">
        <v>914</v>
      </c>
      <c r="O10" s="189">
        <v>0.7889281388888889</v>
      </c>
      <c r="P10" s="189">
        <v>39.029648333333334</v>
      </c>
      <c r="Q10">
        <v>7.53</v>
      </c>
      <c r="R10">
        <v>0.735</v>
      </c>
    </row>
    <row r="11" spans="1:18" ht="13.5">
      <c r="A11" t="s">
        <v>70</v>
      </c>
      <c r="B11" t="s">
        <v>286</v>
      </c>
      <c r="C11" t="s">
        <v>502</v>
      </c>
      <c r="D11" s="189">
        <v>0.7758217222222222</v>
      </c>
      <c r="E11" s="189">
        <v>15.475504444444445</v>
      </c>
      <c r="F11" t="s">
        <v>1116</v>
      </c>
      <c r="G11">
        <v>5.341</v>
      </c>
      <c r="H11">
        <v>1.616</v>
      </c>
      <c r="I11" t="s">
        <v>722</v>
      </c>
      <c r="J11" s="189">
        <v>0.8163078611111112</v>
      </c>
      <c r="K11" s="189">
        <v>16.94064388888889</v>
      </c>
      <c r="L11">
        <v>5.076</v>
      </c>
      <c r="M11">
        <v>0.504</v>
      </c>
      <c r="N11" t="s">
        <v>915</v>
      </c>
      <c r="O11" s="189">
        <v>0.7837384722222223</v>
      </c>
      <c r="P11" s="189">
        <v>11.973849166666668</v>
      </c>
      <c r="Q11">
        <v>5.5</v>
      </c>
      <c r="R11">
        <v>1.112</v>
      </c>
    </row>
    <row r="12" spans="1:18" ht="13.5">
      <c r="A12" t="s">
        <v>71</v>
      </c>
      <c r="B12" t="s">
        <v>287</v>
      </c>
      <c r="C12" t="s">
        <v>503</v>
      </c>
      <c r="D12" s="189">
        <v>0.8205195555555556</v>
      </c>
      <c r="E12" s="189">
        <v>57.07502055555556</v>
      </c>
      <c r="F12" t="s">
        <v>1112</v>
      </c>
      <c r="G12">
        <v>7.07</v>
      </c>
      <c r="H12">
        <v>1.77</v>
      </c>
      <c r="I12" t="s">
        <v>723</v>
      </c>
      <c r="J12" s="189">
        <v>0.7240180277777778</v>
      </c>
      <c r="K12" s="189">
        <v>56.53401916666667</v>
      </c>
      <c r="L12">
        <v>7.837</v>
      </c>
      <c r="M12">
        <v>0.912</v>
      </c>
      <c r="N12" t="s">
        <v>916</v>
      </c>
      <c r="O12" s="189">
        <v>0.9193816388888888</v>
      </c>
      <c r="P12" s="189">
        <v>57.27614055555556</v>
      </c>
      <c r="Q12">
        <v>7.461</v>
      </c>
      <c r="R12">
        <v>0.858</v>
      </c>
    </row>
    <row r="13" spans="1:18" ht="13.5">
      <c r="A13" t="s">
        <v>72</v>
      </c>
      <c r="B13" t="s">
        <v>288</v>
      </c>
      <c r="C13" t="s">
        <v>504</v>
      </c>
      <c r="D13" s="189">
        <v>0.8938538888888888</v>
      </c>
      <c r="E13" s="189">
        <v>-62.87135166666667</v>
      </c>
      <c r="F13" t="s">
        <v>1117</v>
      </c>
      <c r="G13">
        <v>5.7</v>
      </c>
      <c r="H13">
        <v>1.57</v>
      </c>
      <c r="I13" t="s">
        <v>724</v>
      </c>
      <c r="J13" s="189">
        <v>0.71165275</v>
      </c>
      <c r="K13" s="189">
        <v>-60.2628075</v>
      </c>
      <c r="L13">
        <v>5.977</v>
      </c>
      <c r="M13">
        <v>1.32</v>
      </c>
      <c r="N13" t="s">
        <v>917</v>
      </c>
      <c r="O13" s="189">
        <v>0.6737971944444444</v>
      </c>
      <c r="P13" s="189">
        <v>-59.45460444444445</v>
      </c>
      <c r="Q13">
        <v>5.89</v>
      </c>
      <c r="R13">
        <v>0.25</v>
      </c>
    </row>
    <row r="14" spans="1:18" ht="13.5">
      <c r="A14" t="s">
        <v>73</v>
      </c>
      <c r="B14" t="s">
        <v>289</v>
      </c>
      <c r="C14" t="s">
        <v>505</v>
      </c>
      <c r="D14" s="189">
        <v>0.9451476944444445</v>
      </c>
      <c r="E14" s="189">
        <v>60.71674027777778</v>
      </c>
      <c r="F14" t="s">
        <v>1118</v>
      </c>
      <c r="G14">
        <v>2.414</v>
      </c>
      <c r="H14">
        <v>0.141</v>
      </c>
      <c r="I14" t="s">
        <v>725</v>
      </c>
      <c r="J14" s="189">
        <v>0.9463814722222222</v>
      </c>
      <c r="K14" s="189">
        <v>60.362836111111115</v>
      </c>
      <c r="L14">
        <v>5.55</v>
      </c>
      <c r="M14">
        <v>0.07</v>
      </c>
      <c r="N14" t="s">
        <v>918</v>
      </c>
      <c r="O14" s="189">
        <v>0.8844990833333333</v>
      </c>
      <c r="P14" s="189">
        <v>61.12396972222222</v>
      </c>
      <c r="Q14">
        <v>4.797</v>
      </c>
      <c r="R14">
        <v>0.071</v>
      </c>
    </row>
    <row r="15" spans="1:18" ht="13.5">
      <c r="A15" t="s">
        <v>74</v>
      </c>
      <c r="B15" t="s">
        <v>290</v>
      </c>
      <c r="C15" t="s">
        <v>506</v>
      </c>
      <c r="D15" s="189">
        <v>0.9971351666666666</v>
      </c>
      <c r="E15" s="189">
        <v>6.483225277777778</v>
      </c>
      <c r="F15" t="s">
        <v>1112</v>
      </c>
      <c r="G15">
        <v>6.108</v>
      </c>
      <c r="H15">
        <v>1.671</v>
      </c>
      <c r="I15" t="s">
        <v>726</v>
      </c>
      <c r="J15" s="189">
        <v>1.049057888888889</v>
      </c>
      <c r="K15" s="189">
        <v>7.890135555555555</v>
      </c>
      <c r="L15">
        <v>4.271</v>
      </c>
      <c r="M15">
        <v>0.961</v>
      </c>
      <c r="N15" t="s">
        <v>919</v>
      </c>
      <c r="O15" s="189">
        <v>1.0812881666666667</v>
      </c>
      <c r="P15" s="189">
        <v>5.656261666666667</v>
      </c>
      <c r="Q15">
        <v>6.004</v>
      </c>
      <c r="R15">
        <v>0.71</v>
      </c>
    </row>
    <row r="16" spans="1:18" ht="13.5">
      <c r="A16" t="s">
        <v>75</v>
      </c>
      <c r="B16" t="s">
        <v>291</v>
      </c>
      <c r="C16" t="s">
        <v>507</v>
      </c>
      <c r="D16" s="189">
        <v>1.0452518611111112</v>
      </c>
      <c r="E16" s="189">
        <v>-65.45610194444444</v>
      </c>
      <c r="F16" t="s">
        <v>1112</v>
      </c>
      <c r="G16">
        <v>6.241</v>
      </c>
      <c r="H16">
        <v>1.634</v>
      </c>
      <c r="I16" t="s">
        <v>727</v>
      </c>
      <c r="J16" s="189">
        <v>0.9167535</v>
      </c>
      <c r="K16" s="189">
        <v>-69.52708416666667</v>
      </c>
      <c r="L16">
        <v>5.447</v>
      </c>
      <c r="M16">
        <v>1.095</v>
      </c>
      <c r="N16" t="s">
        <v>920</v>
      </c>
      <c r="O16" s="189">
        <v>1.41814075</v>
      </c>
      <c r="P16" s="189">
        <v>-64.36947777777777</v>
      </c>
      <c r="Q16">
        <v>5.917</v>
      </c>
      <c r="R16">
        <v>0.539</v>
      </c>
    </row>
    <row r="17" spans="1:18" ht="13.5">
      <c r="A17" t="s">
        <v>76</v>
      </c>
      <c r="B17" t="s">
        <v>292</v>
      </c>
      <c r="C17" t="s">
        <v>508</v>
      </c>
      <c r="D17" s="189">
        <v>1.064821861111111</v>
      </c>
      <c r="E17" s="189">
        <v>47.642295</v>
      </c>
      <c r="F17" t="s">
        <v>1119</v>
      </c>
      <c r="G17">
        <v>6.814</v>
      </c>
      <c r="H17">
        <v>0.036</v>
      </c>
      <c r="I17" t="s">
        <v>728</v>
      </c>
      <c r="J17" s="189">
        <v>0.7406088055555555</v>
      </c>
      <c r="K17" s="189">
        <v>47.86398388888889</v>
      </c>
      <c r="L17">
        <v>5.649</v>
      </c>
      <c r="M17">
        <v>0.125</v>
      </c>
      <c r="N17" t="s">
        <v>921</v>
      </c>
      <c r="O17" s="189">
        <v>1.05042975</v>
      </c>
      <c r="P17" s="189">
        <v>47.37615777777778</v>
      </c>
      <c r="Q17">
        <v>6.463</v>
      </c>
      <c r="R17">
        <v>0.089</v>
      </c>
    </row>
    <row r="18" spans="1:18" ht="13.5">
      <c r="A18" t="s">
        <v>1211</v>
      </c>
      <c r="B18" t="s">
        <v>1212</v>
      </c>
      <c r="C18" t="s">
        <v>1213</v>
      </c>
      <c r="D18" s="189">
        <v>1.1948333333333334</v>
      </c>
      <c r="E18" s="189">
        <v>65.01888888888888</v>
      </c>
      <c r="F18" t="s">
        <v>1214</v>
      </c>
      <c r="G18">
        <v>5.558</v>
      </c>
      <c r="H18">
        <v>0.091</v>
      </c>
      <c r="I18" t="s">
        <v>1215</v>
      </c>
      <c r="J18" s="189">
        <v>1.1904444444444444</v>
      </c>
      <c r="K18" s="189">
        <v>64.20277777777778</v>
      </c>
      <c r="L18">
        <v>5.551</v>
      </c>
      <c r="M18">
        <v>0.066</v>
      </c>
      <c r="N18" t="s">
        <v>1216</v>
      </c>
      <c r="O18" s="189">
        <v>0.8845</v>
      </c>
      <c r="P18" s="189">
        <v>61.12388888888889</v>
      </c>
      <c r="Q18">
        <v>4.797</v>
      </c>
      <c r="R18">
        <v>0.025</v>
      </c>
    </row>
    <row r="19" spans="1:18" ht="13.5">
      <c r="A19" t="s">
        <v>1277</v>
      </c>
      <c r="B19" t="s">
        <v>1278</v>
      </c>
      <c r="C19" t="s">
        <v>1279</v>
      </c>
      <c r="D19" s="189">
        <v>1.9308333333333332</v>
      </c>
      <c r="E19" s="189">
        <v>23.577222222222222</v>
      </c>
      <c r="F19" t="s">
        <v>1182</v>
      </c>
      <c r="G19">
        <v>5.75</v>
      </c>
      <c r="H19">
        <v>1.188</v>
      </c>
      <c r="I19" t="s">
        <v>1305</v>
      </c>
      <c r="J19" s="189">
        <v>2.1570277777777775</v>
      </c>
      <c r="K19" s="189">
        <v>25.939722222222223</v>
      </c>
      <c r="L19">
        <v>4.989</v>
      </c>
      <c r="M19">
        <v>0.335</v>
      </c>
      <c r="N19" t="s">
        <v>1347</v>
      </c>
      <c r="O19" s="189">
        <v>2.186694444444444</v>
      </c>
      <c r="P19" s="189">
        <v>25.936944444444446</v>
      </c>
      <c r="Q19">
        <v>6.009</v>
      </c>
      <c r="R19">
        <v>0.853</v>
      </c>
    </row>
    <row r="20" spans="1:18" ht="13.5">
      <c r="A20" t="s">
        <v>78</v>
      </c>
      <c r="B20" t="s">
        <v>294</v>
      </c>
      <c r="C20" t="s">
        <v>510</v>
      </c>
      <c r="D20" s="189">
        <v>2.0074508333333334</v>
      </c>
      <c r="E20" s="189">
        <v>-8.523873055555557</v>
      </c>
      <c r="F20" t="s">
        <v>1114</v>
      </c>
      <c r="G20">
        <v>5.498</v>
      </c>
      <c r="H20">
        <v>1.516</v>
      </c>
      <c r="I20" t="s">
        <v>729</v>
      </c>
      <c r="J20" s="189">
        <v>1.9526684444444444</v>
      </c>
      <c r="K20" s="189">
        <v>-10.2424275</v>
      </c>
      <c r="L20">
        <v>6.416</v>
      </c>
      <c r="M20">
        <v>0.82</v>
      </c>
      <c r="N20" t="s">
        <v>922</v>
      </c>
      <c r="O20" s="189">
        <v>1.8231546944444443</v>
      </c>
      <c r="P20" s="189">
        <v>-10.70356</v>
      </c>
      <c r="Q20">
        <v>6.75</v>
      </c>
      <c r="R20">
        <v>0.696</v>
      </c>
    </row>
    <row r="21" spans="1:18" ht="13.5">
      <c r="A21" t="s">
        <v>79</v>
      </c>
      <c r="B21" t="s">
        <v>295</v>
      </c>
      <c r="C21" t="s">
        <v>511</v>
      </c>
      <c r="D21" s="189">
        <v>2.0430771666666665</v>
      </c>
      <c r="E21" s="189">
        <v>13.476715833333333</v>
      </c>
      <c r="F21" t="s">
        <v>1112</v>
      </c>
      <c r="G21">
        <v>5.97</v>
      </c>
      <c r="H21">
        <v>1.592</v>
      </c>
      <c r="I21" t="s">
        <v>730</v>
      </c>
      <c r="J21" s="189">
        <v>2.1564195555555554</v>
      </c>
      <c r="K21" s="189">
        <v>17.22419611111111</v>
      </c>
      <c r="L21">
        <v>6.41</v>
      </c>
      <c r="M21">
        <v>0.425</v>
      </c>
      <c r="N21" t="s">
        <v>732</v>
      </c>
      <c r="O21" s="189">
        <v>2.0618356388888888</v>
      </c>
      <c r="P21" s="189">
        <v>18.253238055555556</v>
      </c>
      <c r="Q21">
        <v>6.215</v>
      </c>
      <c r="R21">
        <v>1.167</v>
      </c>
    </row>
    <row r="22" spans="1:18" ht="13.5">
      <c r="A22" t="s">
        <v>80</v>
      </c>
      <c r="B22" t="s">
        <v>296</v>
      </c>
      <c r="C22" t="s">
        <v>512</v>
      </c>
      <c r="D22" s="189">
        <v>2.1034064444444445</v>
      </c>
      <c r="E22" s="189">
        <v>8.248114166666666</v>
      </c>
      <c r="F22" t="s">
        <v>1120</v>
      </c>
      <c r="G22">
        <v>6.298</v>
      </c>
      <c r="H22">
        <v>1.646</v>
      </c>
      <c r="I22" t="s">
        <v>731</v>
      </c>
      <c r="J22" s="189">
        <v>2.1891886666666664</v>
      </c>
      <c r="K22" s="189">
        <v>8.569805</v>
      </c>
      <c r="L22">
        <v>5.63</v>
      </c>
      <c r="M22">
        <v>0.556</v>
      </c>
      <c r="N22" t="s">
        <v>923</v>
      </c>
      <c r="O22" s="189">
        <v>2.4564969722222223</v>
      </c>
      <c r="P22" s="189">
        <v>10.198326388888889</v>
      </c>
      <c r="Q22">
        <v>6.495</v>
      </c>
      <c r="R22">
        <v>1.09</v>
      </c>
    </row>
    <row r="23" spans="1:18" ht="13.5">
      <c r="A23" t="s">
        <v>81</v>
      </c>
      <c r="B23" t="s">
        <v>297</v>
      </c>
      <c r="C23" t="s">
        <v>513</v>
      </c>
      <c r="D23" s="189">
        <v>2.177111111111111</v>
      </c>
      <c r="E23" s="189">
        <v>19.50027777777778</v>
      </c>
      <c r="F23" t="s">
        <v>1111</v>
      </c>
      <c r="G23">
        <v>5.701</v>
      </c>
      <c r="H23">
        <v>1.644</v>
      </c>
      <c r="I23" t="s">
        <v>732</v>
      </c>
      <c r="J23" s="189">
        <v>2.0618356388888888</v>
      </c>
      <c r="K23" s="189">
        <v>18.253238055555556</v>
      </c>
      <c r="L23">
        <v>6.215</v>
      </c>
      <c r="M23">
        <v>1.424</v>
      </c>
      <c r="N23" t="s">
        <v>924</v>
      </c>
      <c r="O23" s="189">
        <v>2.2133570833333334</v>
      </c>
      <c r="P23" s="189">
        <v>21.210993055555555</v>
      </c>
      <c r="Q23">
        <v>5.285</v>
      </c>
      <c r="R23">
        <v>0.22</v>
      </c>
    </row>
    <row r="24" spans="1:18" ht="13.5">
      <c r="A24" t="s">
        <v>82</v>
      </c>
      <c r="B24" t="s">
        <v>298</v>
      </c>
      <c r="C24" t="s">
        <v>514</v>
      </c>
      <c r="D24" s="189">
        <v>2.2175848055555556</v>
      </c>
      <c r="E24" s="189">
        <v>15.279859444444446</v>
      </c>
      <c r="F24" t="s">
        <v>1121</v>
      </c>
      <c r="G24">
        <v>5.706</v>
      </c>
      <c r="H24">
        <v>1.548</v>
      </c>
      <c r="I24" t="s">
        <v>730</v>
      </c>
      <c r="J24" s="189">
        <v>2.1564195555555554</v>
      </c>
      <c r="K24" s="189">
        <v>17.22419611111111</v>
      </c>
      <c r="L24">
        <v>6.41</v>
      </c>
      <c r="M24">
        <v>0.425</v>
      </c>
      <c r="N24" t="s">
        <v>732</v>
      </c>
      <c r="O24" s="189">
        <v>2.0618356388888888</v>
      </c>
      <c r="P24" s="189">
        <v>18.253238055555556</v>
      </c>
      <c r="Q24">
        <v>6.215</v>
      </c>
      <c r="R24">
        <v>1.123</v>
      </c>
    </row>
    <row r="25" spans="1:18" ht="13.5">
      <c r="A25" t="s">
        <v>83</v>
      </c>
      <c r="B25" t="s">
        <v>299</v>
      </c>
      <c r="C25" t="s">
        <v>515</v>
      </c>
      <c r="D25" s="189">
        <v>2.3224424166666666</v>
      </c>
      <c r="E25" s="189">
        <v>-2.9776425</v>
      </c>
      <c r="F25" t="s">
        <v>1122</v>
      </c>
      <c r="G25">
        <v>4.954</v>
      </c>
      <c r="H25">
        <v>1.549</v>
      </c>
      <c r="I25" t="s">
        <v>733</v>
      </c>
      <c r="J25" s="189">
        <v>2.2830678333333334</v>
      </c>
      <c r="K25" s="189">
        <v>-6.422116111111111</v>
      </c>
      <c r="L25">
        <v>5.506</v>
      </c>
      <c r="M25">
        <v>0.962</v>
      </c>
      <c r="N25" t="s">
        <v>925</v>
      </c>
      <c r="O25" s="189">
        <v>2.53595025</v>
      </c>
      <c r="P25" s="189">
        <v>-1.0348961111111112</v>
      </c>
      <c r="Q25">
        <v>5.357</v>
      </c>
      <c r="R25">
        <v>0.587</v>
      </c>
    </row>
    <row r="26" spans="1:18" ht="13.5">
      <c r="A26" t="s">
        <v>84</v>
      </c>
      <c r="B26" t="s">
        <v>300</v>
      </c>
      <c r="C26" t="s">
        <v>516</v>
      </c>
      <c r="D26" s="189">
        <v>2.3657297777777777</v>
      </c>
      <c r="E26" s="189">
        <v>0.39567555555555556</v>
      </c>
      <c r="F26" t="s">
        <v>1112</v>
      </c>
      <c r="G26">
        <v>5.287</v>
      </c>
      <c r="H26">
        <v>1.651</v>
      </c>
      <c r="I26" t="s">
        <v>734</v>
      </c>
      <c r="J26" s="189">
        <v>2.300399972222222</v>
      </c>
      <c r="K26" s="189">
        <v>1.7578019444444444</v>
      </c>
      <c r="L26">
        <v>5.587</v>
      </c>
      <c r="M26">
        <v>0.594</v>
      </c>
      <c r="N26" t="s">
        <v>926</v>
      </c>
      <c r="O26" s="189">
        <v>2.53595025</v>
      </c>
      <c r="P26" s="189">
        <v>-1.0348961111111112</v>
      </c>
      <c r="Q26">
        <v>5.351</v>
      </c>
      <c r="R26">
        <v>1.057</v>
      </c>
    </row>
    <row r="27" spans="1:18" ht="13.5">
      <c r="A27" t="s">
        <v>77</v>
      </c>
      <c r="B27" t="s">
        <v>293</v>
      </c>
      <c r="C27" t="s">
        <v>509</v>
      </c>
      <c r="D27" s="189">
        <v>2.5303</v>
      </c>
      <c r="E27" s="189">
        <v>89.26410833333334</v>
      </c>
      <c r="F27" t="s">
        <v>1123</v>
      </c>
      <c r="G27">
        <v>2.012</v>
      </c>
      <c r="H27">
        <v>0.601</v>
      </c>
      <c r="I27" t="s">
        <v>1394</v>
      </c>
      <c r="J27" s="189">
        <v>1.1458055555555555</v>
      </c>
      <c r="K27" s="189">
        <v>86.25722222222223</v>
      </c>
      <c r="L27">
        <v>4.226</v>
      </c>
      <c r="M27">
        <v>1.207</v>
      </c>
      <c r="N27" t="s">
        <v>1395</v>
      </c>
      <c r="O27" s="189">
        <v>4.500083333333333</v>
      </c>
      <c r="P27" s="189">
        <v>83.34027777777777</v>
      </c>
      <c r="Q27">
        <v>5.46</v>
      </c>
      <c r="R27">
        <v>0.606</v>
      </c>
    </row>
    <row r="28" spans="1:18" ht="13.5">
      <c r="A28" t="s">
        <v>85</v>
      </c>
      <c r="B28" t="s">
        <v>301</v>
      </c>
      <c r="C28" t="s">
        <v>517</v>
      </c>
      <c r="D28" s="189">
        <v>2.596336472222222</v>
      </c>
      <c r="E28" s="189">
        <v>34.68755833333333</v>
      </c>
      <c r="F28" t="s">
        <v>1111</v>
      </c>
      <c r="G28">
        <v>5.38</v>
      </c>
      <c r="H28">
        <v>1.652</v>
      </c>
      <c r="I28" t="s">
        <v>735</v>
      </c>
      <c r="J28" s="189">
        <v>2.5479498055555556</v>
      </c>
      <c r="K28" s="189">
        <v>34.54240972222222</v>
      </c>
      <c r="L28">
        <v>5.832</v>
      </c>
      <c r="M28">
        <v>1.075</v>
      </c>
      <c r="N28" t="s">
        <v>927</v>
      </c>
      <c r="O28" s="189">
        <v>2.535047361111111</v>
      </c>
      <c r="P28" s="189">
        <v>36.14727138888889</v>
      </c>
      <c r="Q28">
        <v>5.155</v>
      </c>
      <c r="R28">
        <v>0.577</v>
      </c>
    </row>
    <row r="29" spans="1:18" ht="13.5">
      <c r="A29" t="s">
        <v>86</v>
      </c>
      <c r="B29" t="s">
        <v>302</v>
      </c>
      <c r="C29" t="s">
        <v>518</v>
      </c>
      <c r="D29" s="189">
        <v>2.7988673333333334</v>
      </c>
      <c r="E29" s="189">
        <v>-12.460649166666666</v>
      </c>
      <c r="F29" t="s">
        <v>1114</v>
      </c>
      <c r="G29">
        <v>6.815</v>
      </c>
      <c r="H29">
        <v>1.586</v>
      </c>
      <c r="I29" t="s">
        <v>736</v>
      </c>
      <c r="J29" s="189">
        <v>2.692813611111111</v>
      </c>
      <c r="K29" s="189">
        <v>-14.549275833333333</v>
      </c>
      <c r="L29">
        <v>5.973</v>
      </c>
      <c r="M29">
        <v>0.423</v>
      </c>
      <c r="N29" t="s">
        <v>928</v>
      </c>
      <c r="O29" s="189">
        <v>2.691714638888889</v>
      </c>
      <c r="P29" s="189">
        <v>-15.100702222222221</v>
      </c>
      <c r="Q29">
        <v>7.267</v>
      </c>
      <c r="R29">
        <v>1.163</v>
      </c>
    </row>
    <row r="30" spans="1:18" ht="13.5">
      <c r="A30" t="s">
        <v>87</v>
      </c>
      <c r="B30" t="s">
        <v>303</v>
      </c>
      <c r="C30" t="s">
        <v>519</v>
      </c>
      <c r="D30" s="189">
        <v>2.8706069166666666</v>
      </c>
      <c r="E30" s="189">
        <v>-8.267068055555557</v>
      </c>
      <c r="F30" t="s">
        <v>1114</v>
      </c>
      <c r="G30">
        <v>6.93</v>
      </c>
      <c r="H30">
        <v>1.64</v>
      </c>
      <c r="I30" t="s">
        <v>737</v>
      </c>
      <c r="J30" s="189">
        <v>3.032255277777778</v>
      </c>
      <c r="K30" s="189">
        <v>-9.961406666666665</v>
      </c>
      <c r="L30">
        <v>5.823</v>
      </c>
      <c r="M30">
        <v>1.104</v>
      </c>
      <c r="N30" t="s">
        <v>929</v>
      </c>
      <c r="O30" s="189">
        <v>3.0450763333333333</v>
      </c>
      <c r="P30" s="189">
        <v>-7.6854716666666665</v>
      </c>
      <c r="Q30">
        <v>5.315</v>
      </c>
      <c r="R30">
        <v>0.536</v>
      </c>
    </row>
    <row r="31" spans="1:18" ht="13.5">
      <c r="A31" t="s">
        <v>88</v>
      </c>
      <c r="B31" t="s">
        <v>304</v>
      </c>
      <c r="C31" t="s">
        <v>520</v>
      </c>
      <c r="D31" s="189">
        <v>2.9301382777777776</v>
      </c>
      <c r="E31" s="189">
        <v>18.33163972222222</v>
      </c>
      <c r="F31" t="s">
        <v>1124</v>
      </c>
      <c r="G31">
        <v>5.815</v>
      </c>
      <c r="H31">
        <v>1.452</v>
      </c>
      <c r="I31" t="s">
        <v>738</v>
      </c>
      <c r="J31" s="189">
        <v>2.808913694444444</v>
      </c>
      <c r="K31" s="189">
        <v>18.28379055555556</v>
      </c>
      <c r="L31">
        <v>5.847</v>
      </c>
      <c r="M31">
        <v>1.13</v>
      </c>
      <c r="N31" t="s">
        <v>930</v>
      </c>
      <c r="O31" s="189">
        <v>2.9405985833333337</v>
      </c>
      <c r="P31" s="189">
        <v>18.023118888888888</v>
      </c>
      <c r="Q31">
        <v>5.616</v>
      </c>
      <c r="R31">
        <v>0.322</v>
      </c>
    </row>
    <row r="32" spans="1:18" ht="13.5">
      <c r="A32" t="s">
        <v>89</v>
      </c>
      <c r="B32" t="s">
        <v>305</v>
      </c>
      <c r="C32" t="s">
        <v>521</v>
      </c>
      <c r="D32" s="189">
        <v>2.9512709166666666</v>
      </c>
      <c r="E32" s="189">
        <v>4.50103</v>
      </c>
      <c r="F32" t="s">
        <v>1117</v>
      </c>
      <c r="G32">
        <v>6.125</v>
      </c>
      <c r="H32">
        <v>1.675</v>
      </c>
      <c r="I32" t="s">
        <v>739</v>
      </c>
      <c r="J32" s="189">
        <v>3.031195361111111</v>
      </c>
      <c r="K32" s="189">
        <v>5.336151388888888</v>
      </c>
      <c r="L32">
        <v>6.243</v>
      </c>
      <c r="M32">
        <v>1.041</v>
      </c>
      <c r="N32" t="s">
        <v>931</v>
      </c>
      <c r="O32" s="189">
        <v>3.077240777777778</v>
      </c>
      <c r="P32" s="189">
        <v>1.863603888888889</v>
      </c>
      <c r="Q32">
        <v>6.051</v>
      </c>
      <c r="R32">
        <v>0.634</v>
      </c>
    </row>
    <row r="33" spans="1:18" ht="13.5">
      <c r="A33" t="s">
        <v>90</v>
      </c>
      <c r="B33" t="s">
        <v>306</v>
      </c>
      <c r="C33" t="s">
        <v>522</v>
      </c>
      <c r="D33" s="189">
        <v>3.0862759444444445</v>
      </c>
      <c r="E33" s="189">
        <v>38.840273888888895</v>
      </c>
      <c r="F33" t="s">
        <v>1125</v>
      </c>
      <c r="G33">
        <v>3.391</v>
      </c>
      <c r="H33">
        <v>1.646</v>
      </c>
      <c r="I33" t="s">
        <v>740</v>
      </c>
      <c r="J33" s="189">
        <v>3.1881615555555554</v>
      </c>
      <c r="K33" s="189">
        <v>39.611582500000004</v>
      </c>
      <c r="L33">
        <v>4.608</v>
      </c>
      <c r="M33">
        <v>1.115</v>
      </c>
      <c r="N33" t="s">
        <v>932</v>
      </c>
      <c r="O33" s="189">
        <v>2.9673133333333332</v>
      </c>
      <c r="P33" s="189">
        <v>38.61492555555556</v>
      </c>
      <c r="Q33">
        <v>6.036</v>
      </c>
      <c r="R33">
        <v>0.531</v>
      </c>
    </row>
    <row r="34" spans="1:18" ht="13.5">
      <c r="A34" t="s">
        <v>91</v>
      </c>
      <c r="B34" t="s">
        <v>307</v>
      </c>
      <c r="C34" t="s">
        <v>523</v>
      </c>
      <c r="D34" s="189">
        <v>3.1361476388888887</v>
      </c>
      <c r="E34" s="189">
        <v>40.95564777777778</v>
      </c>
      <c r="F34" t="s">
        <v>1126</v>
      </c>
      <c r="G34">
        <v>2.121</v>
      </c>
      <c r="H34">
        <v>0.001</v>
      </c>
      <c r="I34" t="s">
        <v>741</v>
      </c>
      <c r="J34" s="189">
        <v>3.405380638888889</v>
      </c>
      <c r="K34" s="189">
        <v>49.861179722222225</v>
      </c>
      <c r="L34">
        <v>1.795</v>
      </c>
      <c r="M34">
        <v>0.481</v>
      </c>
      <c r="N34" t="s">
        <v>933</v>
      </c>
      <c r="O34" s="189">
        <v>3.158269861111111</v>
      </c>
      <c r="P34" s="189">
        <v>44.85754361111111</v>
      </c>
      <c r="Q34">
        <v>3.803</v>
      </c>
      <c r="R34">
        <v>0.48</v>
      </c>
    </row>
    <row r="35" spans="1:18" ht="13.5">
      <c r="A35" t="s">
        <v>92</v>
      </c>
      <c r="B35" t="s">
        <v>308</v>
      </c>
      <c r="C35" t="s">
        <v>524</v>
      </c>
      <c r="D35" s="189">
        <v>3.7595686111111113</v>
      </c>
      <c r="E35" s="189">
        <v>24.46342222222222</v>
      </c>
      <c r="F35" t="s">
        <v>1306</v>
      </c>
      <c r="G35">
        <v>8.592</v>
      </c>
      <c r="H35">
        <v>0.351</v>
      </c>
      <c r="I35" t="s">
        <v>742</v>
      </c>
      <c r="J35" s="189">
        <v>3.740477361111111</v>
      </c>
      <c r="K35" s="189">
        <v>24.39472222222222</v>
      </c>
      <c r="L35">
        <v>8.167</v>
      </c>
      <c r="M35">
        <v>0.268</v>
      </c>
      <c r="N35" t="s">
        <v>934</v>
      </c>
      <c r="O35" s="189">
        <v>3.8323875277777777</v>
      </c>
      <c r="P35" s="189">
        <v>24.348995833333333</v>
      </c>
      <c r="Q35">
        <v>7.54</v>
      </c>
      <c r="R35">
        <v>0.083</v>
      </c>
    </row>
    <row r="36" spans="1:18" ht="13.5">
      <c r="A36" t="s">
        <v>94</v>
      </c>
      <c r="B36" t="s">
        <v>310</v>
      </c>
      <c r="C36" t="s">
        <v>526</v>
      </c>
      <c r="D36" s="189">
        <v>3.7690376666666667</v>
      </c>
      <c r="E36" s="189">
        <v>-12.101589444444445</v>
      </c>
      <c r="F36" t="s">
        <v>1127</v>
      </c>
      <c r="G36">
        <v>4.422</v>
      </c>
      <c r="H36">
        <v>1.627</v>
      </c>
      <c r="I36" t="s">
        <v>744</v>
      </c>
      <c r="J36" s="189">
        <v>3.99170325</v>
      </c>
      <c r="K36" s="189">
        <v>-12.574424722222222</v>
      </c>
      <c r="L36">
        <v>5.6</v>
      </c>
      <c r="M36">
        <v>1.48</v>
      </c>
      <c r="N36" t="s">
        <v>936</v>
      </c>
      <c r="O36" s="189">
        <v>4.072976638888889</v>
      </c>
      <c r="P36" s="189">
        <v>-12.792295277777777</v>
      </c>
      <c r="Q36">
        <v>5.621</v>
      </c>
      <c r="R36">
        <v>0.147</v>
      </c>
    </row>
    <row r="37" spans="1:18" ht="13.5">
      <c r="A37" t="s">
        <v>95</v>
      </c>
      <c r="B37" t="s">
        <v>311</v>
      </c>
      <c r="C37" t="s">
        <v>527</v>
      </c>
      <c r="D37" s="189">
        <v>3.801816833333333</v>
      </c>
      <c r="E37" s="189">
        <v>24.98841666666667</v>
      </c>
      <c r="F37" t="s">
        <v>1128</v>
      </c>
      <c r="G37">
        <v>6.45</v>
      </c>
      <c r="H37">
        <v>1.701</v>
      </c>
      <c r="I37" t="s">
        <v>745</v>
      </c>
      <c r="J37" s="189">
        <v>3.815816972222222</v>
      </c>
      <c r="K37" s="189">
        <v>23.85713527777778</v>
      </c>
      <c r="L37">
        <v>6.47</v>
      </c>
      <c r="M37">
        <v>0.42</v>
      </c>
      <c r="N37" t="s">
        <v>937</v>
      </c>
      <c r="O37" s="189">
        <v>3.729449861111111</v>
      </c>
      <c r="P37" s="189">
        <v>26.381124166666666</v>
      </c>
      <c r="Q37">
        <v>7.28</v>
      </c>
      <c r="R37">
        <v>1.281</v>
      </c>
    </row>
    <row r="38" spans="1:18" ht="13.5">
      <c r="A38" t="s">
        <v>93</v>
      </c>
      <c r="B38" t="s">
        <v>309</v>
      </c>
      <c r="C38" t="s">
        <v>525</v>
      </c>
      <c r="D38" s="189">
        <v>3.825356083333333</v>
      </c>
      <c r="E38" s="189">
        <v>65.5259725</v>
      </c>
      <c r="F38" t="s">
        <v>1307</v>
      </c>
      <c r="G38">
        <v>4.45</v>
      </c>
      <c r="H38">
        <v>1.88</v>
      </c>
      <c r="I38" t="s">
        <v>743</v>
      </c>
      <c r="J38" s="189">
        <v>3.7673142777777775</v>
      </c>
      <c r="K38" s="189">
        <v>63.34504722222223</v>
      </c>
      <c r="L38">
        <v>4.799</v>
      </c>
      <c r="M38">
        <v>0.788</v>
      </c>
      <c r="N38" t="s">
        <v>935</v>
      </c>
      <c r="O38" s="189">
        <v>3.952302388888889</v>
      </c>
      <c r="P38" s="189">
        <v>61.10888277777778</v>
      </c>
      <c r="Q38">
        <v>4.99</v>
      </c>
      <c r="R38">
        <v>1.092</v>
      </c>
    </row>
    <row r="39" spans="1:18" ht="13.5">
      <c r="A39" t="s">
        <v>96</v>
      </c>
      <c r="B39" t="s">
        <v>312</v>
      </c>
      <c r="C39" t="s">
        <v>528</v>
      </c>
      <c r="D39" s="189">
        <v>3.9230770277777776</v>
      </c>
      <c r="E39" s="189">
        <v>31.045837222222225</v>
      </c>
      <c r="F39" t="s">
        <v>1308</v>
      </c>
      <c r="G39">
        <v>6.191</v>
      </c>
      <c r="H39">
        <v>0.274</v>
      </c>
      <c r="I39" t="s">
        <v>746</v>
      </c>
      <c r="J39" s="189">
        <v>3.5444491388888886</v>
      </c>
      <c r="K39" s="189">
        <v>35.46172916666667</v>
      </c>
      <c r="L39">
        <v>5.896</v>
      </c>
      <c r="M39">
        <v>0.065</v>
      </c>
      <c r="N39" t="s">
        <v>938</v>
      </c>
      <c r="O39" s="189">
        <v>3.7979626944444442</v>
      </c>
      <c r="P39" s="189">
        <v>33.599871944444445</v>
      </c>
      <c r="Q39">
        <v>6.562</v>
      </c>
      <c r="R39">
        <v>0.339</v>
      </c>
    </row>
    <row r="40" spans="1:18" ht="13.5">
      <c r="A40" t="s">
        <v>1104</v>
      </c>
      <c r="B40" t="s">
        <v>1105</v>
      </c>
      <c r="C40" t="s">
        <v>1078</v>
      </c>
      <c r="D40" s="189">
        <v>4.304061111111111</v>
      </c>
      <c r="E40" s="189">
        <v>50.2955</v>
      </c>
      <c r="F40" t="s">
        <v>1129</v>
      </c>
      <c r="G40">
        <v>4.598</v>
      </c>
      <c r="H40">
        <v>0.054</v>
      </c>
      <c r="I40" t="s">
        <v>1193</v>
      </c>
      <c r="J40" s="189">
        <v>4.109734444444444</v>
      </c>
      <c r="K40" s="189">
        <v>50.35126388888889</v>
      </c>
      <c r="L40">
        <v>4.285</v>
      </c>
      <c r="M40">
        <v>0.013</v>
      </c>
      <c r="N40" t="s">
        <v>1194</v>
      </c>
      <c r="O40" s="189">
        <v>4.278635277777778</v>
      </c>
      <c r="P40" s="189">
        <v>53.61179722222222</v>
      </c>
      <c r="Q40">
        <v>5.19</v>
      </c>
      <c r="R40">
        <v>0.067</v>
      </c>
    </row>
    <row r="41" spans="1:18" ht="13.5">
      <c r="A41" t="s">
        <v>97</v>
      </c>
      <c r="B41" t="s">
        <v>313</v>
      </c>
      <c r="C41" t="s">
        <v>529</v>
      </c>
      <c r="D41" s="189">
        <v>4.363236305555556</v>
      </c>
      <c r="E41" s="189">
        <v>60.73562527777778</v>
      </c>
      <c r="F41" t="s">
        <v>1121</v>
      </c>
      <c r="G41">
        <v>5.404</v>
      </c>
      <c r="H41">
        <v>1.495</v>
      </c>
      <c r="I41" t="s">
        <v>747</v>
      </c>
      <c r="J41" s="189">
        <v>4.2855829722222225</v>
      </c>
      <c r="K41" s="189">
        <v>57.860355</v>
      </c>
      <c r="L41">
        <v>5.706</v>
      </c>
      <c r="M41">
        <v>1.093</v>
      </c>
      <c r="N41" t="s">
        <v>939</v>
      </c>
      <c r="O41" s="189">
        <v>4.157658694444445</v>
      </c>
      <c r="P41" s="189">
        <v>59.90807083333333</v>
      </c>
      <c r="Q41">
        <v>6.305</v>
      </c>
      <c r="R41">
        <v>0.402</v>
      </c>
    </row>
    <row r="42" spans="1:18" ht="13.5">
      <c r="A42" t="s">
        <v>98</v>
      </c>
      <c r="B42" t="s">
        <v>314</v>
      </c>
      <c r="C42" t="s">
        <v>530</v>
      </c>
      <c r="D42" s="189">
        <v>4.395604861111112</v>
      </c>
      <c r="E42" s="189">
        <v>22.964799166666666</v>
      </c>
      <c r="F42" t="s">
        <v>1130</v>
      </c>
      <c r="G42">
        <v>7.027</v>
      </c>
      <c r="H42">
        <v>1.815</v>
      </c>
      <c r="I42" t="s">
        <v>748</v>
      </c>
      <c r="J42" s="189">
        <v>4.404048583333334</v>
      </c>
      <c r="K42" s="189">
        <v>21.736243611111114</v>
      </c>
      <c r="L42">
        <v>7.135</v>
      </c>
      <c r="M42">
        <v>0.518</v>
      </c>
      <c r="N42" t="s">
        <v>940</v>
      </c>
      <c r="O42" s="189">
        <v>4.359743527777778</v>
      </c>
      <c r="P42" s="189">
        <v>21.188500277777777</v>
      </c>
      <c r="Q42">
        <v>7.055</v>
      </c>
      <c r="R42">
        <v>1.297</v>
      </c>
    </row>
    <row r="43" spans="1:18" ht="13.5">
      <c r="A43" t="s">
        <v>99</v>
      </c>
      <c r="B43" t="s">
        <v>315</v>
      </c>
      <c r="C43" t="s">
        <v>531</v>
      </c>
      <c r="D43" s="189">
        <v>4.875545027777778</v>
      </c>
      <c r="E43" s="189">
        <v>14.250641944444444</v>
      </c>
      <c r="F43" t="s">
        <v>1131</v>
      </c>
      <c r="G43">
        <v>4.727</v>
      </c>
      <c r="H43">
        <v>1.806</v>
      </c>
      <c r="I43" t="s">
        <v>749</v>
      </c>
      <c r="J43" s="189">
        <v>4.939520666666667</v>
      </c>
      <c r="K43" s="189">
        <v>13.514465833333333</v>
      </c>
      <c r="L43">
        <v>4.066</v>
      </c>
      <c r="M43">
        <v>1.158</v>
      </c>
      <c r="N43" t="s">
        <v>941</v>
      </c>
      <c r="O43" s="189">
        <v>4.956205722222222</v>
      </c>
      <c r="P43" s="189">
        <v>17.15367694444444</v>
      </c>
      <c r="Q43">
        <v>5.485</v>
      </c>
      <c r="R43">
        <v>0.648</v>
      </c>
    </row>
    <row r="44" spans="1:18" ht="13.5">
      <c r="A44" t="s">
        <v>100</v>
      </c>
      <c r="B44" t="s">
        <v>316</v>
      </c>
      <c r="C44" t="s">
        <v>532</v>
      </c>
      <c r="D44" s="189">
        <v>4.8918045277777775</v>
      </c>
      <c r="E44" s="189">
        <v>-66.67541361111111</v>
      </c>
      <c r="F44" t="s">
        <v>1309</v>
      </c>
      <c r="G44">
        <v>6.402</v>
      </c>
      <c r="H44">
        <v>1.624</v>
      </c>
      <c r="I44" t="s">
        <v>750</v>
      </c>
      <c r="J44" s="189">
        <v>4.749416972222222</v>
      </c>
      <c r="K44" s="189">
        <v>-63.229715</v>
      </c>
      <c r="L44">
        <v>6.462</v>
      </c>
      <c r="M44">
        <v>1.078</v>
      </c>
      <c r="N44" t="s">
        <v>942</v>
      </c>
      <c r="O44" s="189">
        <v>4.5594305833333335</v>
      </c>
      <c r="P44" s="189">
        <v>-62.8236775</v>
      </c>
      <c r="Q44">
        <v>5.788</v>
      </c>
      <c r="R44">
        <v>0.546</v>
      </c>
    </row>
    <row r="45" spans="1:18" ht="13.5">
      <c r="A45" t="s">
        <v>101</v>
      </c>
      <c r="B45" t="s">
        <v>317</v>
      </c>
      <c r="C45" t="s">
        <v>533</v>
      </c>
      <c r="D45" s="189">
        <v>5.032815027777778</v>
      </c>
      <c r="E45" s="189">
        <v>43.82330833333334</v>
      </c>
      <c r="F45" t="s">
        <v>1132</v>
      </c>
      <c r="G45">
        <v>2.984</v>
      </c>
      <c r="H45">
        <v>0.54</v>
      </c>
      <c r="I45" t="s">
        <v>751</v>
      </c>
      <c r="J45" s="189">
        <v>5.319020694444444</v>
      </c>
      <c r="K45" s="189">
        <v>40.09905166666667</v>
      </c>
      <c r="L45">
        <v>4.705</v>
      </c>
      <c r="M45">
        <v>0.624</v>
      </c>
      <c r="N45" t="s">
        <v>943</v>
      </c>
      <c r="O45" s="189">
        <v>5.108581333333333</v>
      </c>
      <c r="P45" s="189">
        <v>41.234474444444444</v>
      </c>
      <c r="Q45">
        <v>3.172</v>
      </c>
      <c r="R45">
        <v>0.084</v>
      </c>
    </row>
    <row r="46" spans="1:18" ht="13.5">
      <c r="A46" t="s">
        <v>102</v>
      </c>
      <c r="B46" t="s">
        <v>318</v>
      </c>
      <c r="C46" t="s">
        <v>534</v>
      </c>
      <c r="D46" s="189">
        <v>5.041301916666667</v>
      </c>
      <c r="E46" s="189">
        <v>41.075836111111116</v>
      </c>
      <c r="F46" t="s">
        <v>1133</v>
      </c>
      <c r="G46">
        <v>3.755</v>
      </c>
      <c r="H46">
        <v>1.224</v>
      </c>
      <c r="I46" t="s">
        <v>751</v>
      </c>
      <c r="J46" s="189">
        <v>5.319020694444444</v>
      </c>
      <c r="K46" s="189">
        <v>40.09905166666667</v>
      </c>
      <c r="L46">
        <v>4.705</v>
      </c>
      <c r="M46">
        <v>0.624</v>
      </c>
      <c r="N46" t="s">
        <v>943</v>
      </c>
      <c r="O46" s="189">
        <v>5.108581333333333</v>
      </c>
      <c r="P46" s="189">
        <v>41.234474444444444</v>
      </c>
      <c r="Q46">
        <v>3.172</v>
      </c>
      <c r="R46">
        <v>0.6</v>
      </c>
    </row>
    <row r="47" spans="1:18" ht="13.5">
      <c r="A47" t="s">
        <v>103</v>
      </c>
      <c r="B47" t="s">
        <v>319</v>
      </c>
      <c r="C47" t="s">
        <v>535</v>
      </c>
      <c r="D47" s="189">
        <v>5.111286305555555</v>
      </c>
      <c r="E47" s="189">
        <v>51.59772027777778</v>
      </c>
      <c r="F47" t="s">
        <v>1134</v>
      </c>
      <c r="G47">
        <v>4.984</v>
      </c>
      <c r="H47">
        <v>0.334</v>
      </c>
      <c r="I47" t="s">
        <v>752</v>
      </c>
      <c r="J47" s="189">
        <v>4.935298416666667</v>
      </c>
      <c r="K47" s="189">
        <v>52.86976111111111</v>
      </c>
      <c r="L47">
        <v>5.745</v>
      </c>
      <c r="M47">
        <v>0.098</v>
      </c>
      <c r="N47" t="s">
        <v>944</v>
      </c>
      <c r="O47" s="189">
        <v>4.954776833333334</v>
      </c>
      <c r="P47" s="189">
        <v>53.75210111111111</v>
      </c>
      <c r="Q47">
        <v>4.46</v>
      </c>
      <c r="R47">
        <v>0.236</v>
      </c>
    </row>
    <row r="48" spans="1:18" ht="13.5">
      <c r="A48" t="s">
        <v>104</v>
      </c>
      <c r="B48" t="s">
        <v>320</v>
      </c>
      <c r="C48" t="s">
        <v>536</v>
      </c>
      <c r="D48" s="189">
        <v>5.12611875</v>
      </c>
      <c r="E48" s="189">
        <v>-63.399678888888886</v>
      </c>
      <c r="F48" t="s">
        <v>1111</v>
      </c>
      <c r="G48">
        <v>5.2</v>
      </c>
      <c r="H48">
        <v>1.65</v>
      </c>
      <c r="I48" t="s">
        <v>753</v>
      </c>
      <c r="J48" s="189">
        <v>5.488145055555556</v>
      </c>
      <c r="K48" s="189">
        <v>-62.314256111111106</v>
      </c>
      <c r="L48">
        <v>6.588</v>
      </c>
      <c r="M48">
        <v>1.527</v>
      </c>
      <c r="N48" t="s">
        <v>945</v>
      </c>
      <c r="O48" s="189">
        <v>5.5044088888888885</v>
      </c>
      <c r="P48" s="189">
        <v>-63.927685555555556</v>
      </c>
      <c r="Q48">
        <v>6.185</v>
      </c>
      <c r="R48">
        <v>0.123</v>
      </c>
    </row>
    <row r="49" spans="1:18" ht="13.5">
      <c r="A49" t="s">
        <v>1280</v>
      </c>
      <c r="B49" t="s">
        <v>1281</v>
      </c>
      <c r="C49" t="s">
        <v>1282</v>
      </c>
      <c r="D49" s="189">
        <v>5.395083333333334</v>
      </c>
      <c r="E49" s="189">
        <v>0.1597222222222222</v>
      </c>
      <c r="F49" t="s">
        <v>1310</v>
      </c>
      <c r="G49">
        <v>5.695</v>
      </c>
      <c r="H49">
        <v>0.21</v>
      </c>
      <c r="I49" t="s">
        <v>1311</v>
      </c>
      <c r="J49" s="189">
        <v>5.3197777777777775</v>
      </c>
      <c r="K49" s="189">
        <v>2.5958333333333337</v>
      </c>
      <c r="L49">
        <v>5.34</v>
      </c>
      <c r="M49">
        <v>0.416</v>
      </c>
      <c r="N49" t="s">
        <v>1348</v>
      </c>
      <c r="O49" s="189">
        <v>5.489916666666667</v>
      </c>
      <c r="P49" s="189">
        <v>-3.446388888888889</v>
      </c>
      <c r="Q49">
        <v>5.778</v>
      </c>
      <c r="R49">
        <v>0.626</v>
      </c>
    </row>
    <row r="50" spans="1:18" ht="13.5">
      <c r="A50" t="s">
        <v>105</v>
      </c>
      <c r="B50" t="s">
        <v>321</v>
      </c>
      <c r="C50" t="s">
        <v>537</v>
      </c>
      <c r="D50" s="189">
        <v>5.536875305555555</v>
      </c>
      <c r="E50" s="189">
        <v>18.594234166666666</v>
      </c>
      <c r="F50" t="s">
        <v>1135</v>
      </c>
      <c r="G50">
        <v>4.36</v>
      </c>
      <c r="H50">
        <v>2.074</v>
      </c>
      <c r="I50" t="s">
        <v>36</v>
      </c>
      <c r="J50" s="189">
        <v>5.452803777777778</v>
      </c>
      <c r="K50" s="189">
        <v>17.962216388888887</v>
      </c>
      <c r="L50">
        <v>5.413</v>
      </c>
      <c r="M50">
        <v>0.099</v>
      </c>
      <c r="N50" t="s">
        <v>37</v>
      </c>
      <c r="O50" s="189">
        <v>5.61770438888889</v>
      </c>
      <c r="P50" s="189">
        <v>17.040324444444447</v>
      </c>
      <c r="Q50">
        <v>5.538</v>
      </c>
      <c r="R50">
        <v>2.173</v>
      </c>
    </row>
    <row r="51" spans="1:18" ht="13.5">
      <c r="A51" t="s">
        <v>107</v>
      </c>
      <c r="B51" t="s">
        <v>323</v>
      </c>
      <c r="C51" t="s">
        <v>539</v>
      </c>
      <c r="D51" s="189">
        <v>5.57910625</v>
      </c>
      <c r="E51" s="189">
        <v>-73.74127666666666</v>
      </c>
      <c r="F51" t="s">
        <v>1111</v>
      </c>
      <c r="G51">
        <v>5.783</v>
      </c>
      <c r="H51">
        <v>1.712</v>
      </c>
      <c r="I51" t="s">
        <v>755</v>
      </c>
      <c r="J51" s="189">
        <v>5.531393222222222</v>
      </c>
      <c r="K51" s="189">
        <v>-76.34096388888888</v>
      </c>
      <c r="L51">
        <v>5.178</v>
      </c>
      <c r="M51">
        <v>1.13</v>
      </c>
      <c r="N51" t="s">
        <v>947</v>
      </c>
      <c r="O51" s="189">
        <v>5.7967038055555555</v>
      </c>
      <c r="P51" s="189">
        <v>-72.70225</v>
      </c>
      <c r="Q51">
        <v>6.522</v>
      </c>
      <c r="R51">
        <v>0.582</v>
      </c>
    </row>
    <row r="52" spans="1:18" ht="13.5">
      <c r="A52" t="s">
        <v>106</v>
      </c>
      <c r="B52" t="s">
        <v>322</v>
      </c>
      <c r="C52" t="s">
        <v>538</v>
      </c>
      <c r="D52" s="189">
        <v>5.648492222222222</v>
      </c>
      <c r="E52" s="189">
        <v>26.31578388888889</v>
      </c>
      <c r="F52" t="s">
        <v>1312</v>
      </c>
      <c r="G52">
        <v>9.185</v>
      </c>
      <c r="H52">
        <v>0.481</v>
      </c>
      <c r="I52" t="s">
        <v>754</v>
      </c>
      <c r="J52" s="189">
        <v>5.627739583333334</v>
      </c>
      <c r="K52" s="189">
        <v>26.21742833333333</v>
      </c>
      <c r="L52">
        <v>7.934</v>
      </c>
      <c r="M52">
        <v>0.337</v>
      </c>
      <c r="N52" t="s">
        <v>946</v>
      </c>
      <c r="O52" s="189">
        <v>5.888790583333333</v>
      </c>
      <c r="P52" s="189">
        <v>27.612261944444445</v>
      </c>
      <c r="Q52">
        <v>4.572</v>
      </c>
      <c r="R52">
        <v>0.144</v>
      </c>
    </row>
    <row r="53" spans="1:18" ht="13.5">
      <c r="A53" t="s">
        <v>108</v>
      </c>
      <c r="B53" t="s">
        <v>324</v>
      </c>
      <c r="C53" t="s">
        <v>540</v>
      </c>
      <c r="D53" s="189">
        <v>5.850677055555555</v>
      </c>
      <c r="E53" s="189">
        <v>37.305573055555556</v>
      </c>
      <c r="F53" t="s">
        <v>1121</v>
      </c>
      <c r="G53">
        <v>4.736</v>
      </c>
      <c r="H53">
        <v>1.617</v>
      </c>
      <c r="I53" t="s">
        <v>756</v>
      </c>
      <c r="J53" s="189">
        <v>5.858166388888889</v>
      </c>
      <c r="K53" s="189">
        <v>39.14848027777778</v>
      </c>
      <c r="L53">
        <v>3.96</v>
      </c>
      <c r="M53">
        <v>1.132</v>
      </c>
      <c r="N53" t="s">
        <v>948</v>
      </c>
      <c r="O53" s="189">
        <v>5.819566138888889</v>
      </c>
      <c r="P53" s="189">
        <v>39.18107111111111</v>
      </c>
      <c r="Q53">
        <v>4.51</v>
      </c>
      <c r="R53">
        <v>0.485</v>
      </c>
    </row>
    <row r="54" spans="1:18" ht="13.5">
      <c r="A54" t="s">
        <v>1283</v>
      </c>
      <c r="B54" t="s">
        <v>1284</v>
      </c>
      <c r="C54"/>
      <c r="D54" s="189">
        <v>5.8581666666666665</v>
      </c>
      <c r="E54" s="189">
        <v>39.14861111111111</v>
      </c>
      <c r="F54" t="s">
        <v>1313</v>
      </c>
      <c r="G54">
        <v>3.96</v>
      </c>
      <c r="H54">
        <v>1.133</v>
      </c>
      <c r="I54" t="s">
        <v>1314</v>
      </c>
      <c r="J54" s="189">
        <v>5.819555555555556</v>
      </c>
      <c r="K54" s="189">
        <v>39.18111111111111</v>
      </c>
      <c r="L54">
        <v>4.51</v>
      </c>
      <c r="M54">
        <v>0.951</v>
      </c>
      <c r="N54" t="s">
        <v>1349</v>
      </c>
      <c r="O54" s="189">
        <v>6.10975</v>
      </c>
      <c r="P54" s="189">
        <v>38.48277777777778</v>
      </c>
      <c r="Q54">
        <v>5.356</v>
      </c>
      <c r="R54">
        <v>0.182</v>
      </c>
    </row>
    <row r="55" spans="1:18" ht="13.5">
      <c r="A55" t="s">
        <v>109</v>
      </c>
      <c r="B55" t="s">
        <v>325</v>
      </c>
      <c r="C55" t="s">
        <v>541</v>
      </c>
      <c r="D55" s="189">
        <v>5.91952925</v>
      </c>
      <c r="E55" s="189">
        <v>7.407062777777778</v>
      </c>
      <c r="F55" t="s">
        <v>1135</v>
      </c>
      <c r="G55">
        <v>0.501</v>
      </c>
      <c r="H55">
        <v>1.86</v>
      </c>
      <c r="I55" t="s">
        <v>757</v>
      </c>
      <c r="J55" s="189">
        <v>5.61510775</v>
      </c>
      <c r="K55" s="189">
        <v>9.290672777777777</v>
      </c>
      <c r="L55">
        <v>4.082</v>
      </c>
      <c r="M55">
        <v>0.957</v>
      </c>
      <c r="N55" t="s">
        <v>949</v>
      </c>
      <c r="O55" s="189">
        <v>5.836962472222222</v>
      </c>
      <c r="P55" s="189">
        <v>4.423405833333334</v>
      </c>
      <c r="Q55">
        <v>5.958</v>
      </c>
      <c r="R55">
        <v>0.903</v>
      </c>
    </row>
    <row r="56" spans="1:18" ht="13.5">
      <c r="A56" t="s">
        <v>110</v>
      </c>
      <c r="B56" t="s">
        <v>326</v>
      </c>
      <c r="C56" t="s">
        <v>542</v>
      </c>
      <c r="D56" s="189">
        <v>5.9989165</v>
      </c>
      <c r="E56" s="189">
        <v>45.93673555555555</v>
      </c>
      <c r="F56" t="s">
        <v>1136</v>
      </c>
      <c r="G56">
        <v>4.299</v>
      </c>
      <c r="H56">
        <v>1.699</v>
      </c>
      <c r="I56" t="s">
        <v>758</v>
      </c>
      <c r="J56" s="189">
        <v>6.00524975</v>
      </c>
      <c r="K56" s="189">
        <v>44.59201277777778</v>
      </c>
      <c r="L56">
        <v>6.2</v>
      </c>
      <c r="M56">
        <v>1.15</v>
      </c>
      <c r="N56" t="s">
        <v>950</v>
      </c>
      <c r="O56" s="189">
        <v>6.0286275</v>
      </c>
      <c r="P56" s="189">
        <v>48.959445</v>
      </c>
      <c r="Q56">
        <v>5.964</v>
      </c>
      <c r="R56">
        <v>0.549</v>
      </c>
    </row>
    <row r="57" spans="1:18" ht="13.5">
      <c r="A57" t="s">
        <v>112</v>
      </c>
      <c r="B57" t="s">
        <v>328</v>
      </c>
      <c r="C57" t="s">
        <v>544</v>
      </c>
      <c r="D57" s="189">
        <v>6.035926611111111</v>
      </c>
      <c r="E57" s="189">
        <v>-60.096830555555556</v>
      </c>
      <c r="F57" t="s">
        <v>1117</v>
      </c>
      <c r="G57">
        <v>6.44</v>
      </c>
      <c r="H57">
        <v>1.58</v>
      </c>
      <c r="I57" t="s">
        <v>760</v>
      </c>
      <c r="J57" s="189">
        <v>5.901681916666667</v>
      </c>
      <c r="K57" s="189">
        <v>-63.08962722222223</v>
      </c>
      <c r="L57">
        <v>4.645</v>
      </c>
      <c r="M57">
        <v>1.05</v>
      </c>
      <c r="N57" t="s">
        <v>952</v>
      </c>
      <c r="O57" s="189">
        <v>5.903315861111111</v>
      </c>
      <c r="P57" s="189">
        <v>-64.48224444444445</v>
      </c>
      <c r="Q57">
        <v>6.616</v>
      </c>
      <c r="R57">
        <v>0.53</v>
      </c>
    </row>
    <row r="58" spans="1:18" ht="13.5">
      <c r="A58" t="s">
        <v>1217</v>
      </c>
      <c r="B58" t="s">
        <v>1218</v>
      </c>
      <c r="C58" t="s">
        <v>1219</v>
      </c>
      <c r="D58" s="189">
        <v>6.068666666666666</v>
      </c>
      <c r="E58" s="189">
        <v>23.263333333333332</v>
      </c>
      <c r="F58" t="s">
        <v>1220</v>
      </c>
      <c r="G58">
        <v>4.158</v>
      </c>
      <c r="H58">
        <v>0.827</v>
      </c>
      <c r="I58" t="s">
        <v>1221</v>
      </c>
      <c r="J58" s="189">
        <v>5.816944444444444</v>
      </c>
      <c r="K58" s="189">
        <v>24.5675</v>
      </c>
      <c r="L58">
        <v>4.877</v>
      </c>
      <c r="M58">
        <v>1.019</v>
      </c>
      <c r="N58" t="s">
        <v>1222</v>
      </c>
      <c r="O58" s="189">
        <v>6.256305555555556</v>
      </c>
      <c r="P58" s="189">
        <v>29.498055555555556</v>
      </c>
      <c r="Q58">
        <v>4.338</v>
      </c>
      <c r="R58">
        <v>0.192</v>
      </c>
    </row>
    <row r="59" spans="1:18" ht="13.5">
      <c r="A59" t="s">
        <v>111</v>
      </c>
      <c r="B59" t="s">
        <v>327</v>
      </c>
      <c r="C59" t="s">
        <v>543</v>
      </c>
      <c r="D59" s="189">
        <v>6.083091444444444</v>
      </c>
      <c r="E59" s="189">
        <v>-16.484434722222222</v>
      </c>
      <c r="F59" t="s">
        <v>1137</v>
      </c>
      <c r="G59">
        <v>4.923</v>
      </c>
      <c r="H59">
        <v>0.234</v>
      </c>
      <c r="I59" t="s">
        <v>759</v>
      </c>
      <c r="J59" s="189">
        <v>6.159590083333334</v>
      </c>
      <c r="K59" s="189">
        <v>-14.584618611111111</v>
      </c>
      <c r="L59">
        <v>5.552</v>
      </c>
      <c r="M59">
        <v>1.155</v>
      </c>
      <c r="N59" t="s">
        <v>951</v>
      </c>
      <c r="O59" s="189">
        <v>6.042725638888888</v>
      </c>
      <c r="P59" s="189">
        <v>-14.49715722222222</v>
      </c>
      <c r="Q59">
        <v>6.197</v>
      </c>
      <c r="R59">
        <v>0.921</v>
      </c>
    </row>
    <row r="60" spans="1:18" ht="13.5">
      <c r="A60" t="s">
        <v>113</v>
      </c>
      <c r="B60" t="s">
        <v>329</v>
      </c>
      <c r="C60" t="s">
        <v>545</v>
      </c>
      <c r="D60" s="189">
        <v>6.247960333333333</v>
      </c>
      <c r="E60" s="189">
        <v>22.506798888888888</v>
      </c>
      <c r="F60" t="s">
        <v>1111</v>
      </c>
      <c r="G60">
        <v>3.283</v>
      </c>
      <c r="H60">
        <v>1.586</v>
      </c>
      <c r="I60" t="s">
        <v>761</v>
      </c>
      <c r="J60" s="189">
        <v>6.192307194444445</v>
      </c>
      <c r="K60" s="189">
        <v>24.42025277777778</v>
      </c>
      <c r="L60">
        <v>5.813</v>
      </c>
      <c r="M60">
        <v>1.11</v>
      </c>
      <c r="N60" t="s">
        <v>953</v>
      </c>
      <c r="O60" s="189">
        <v>6.159010305555556</v>
      </c>
      <c r="P60" s="189">
        <v>22.190261944444444</v>
      </c>
      <c r="Q60">
        <v>5.929</v>
      </c>
      <c r="R60">
        <v>0.476</v>
      </c>
    </row>
    <row r="61" spans="1:18" ht="13.5">
      <c r="A61" t="s">
        <v>1285</v>
      </c>
      <c r="B61" t="s">
        <v>1286</v>
      </c>
      <c r="C61"/>
      <c r="D61" s="189">
        <v>6.256305555555556</v>
      </c>
      <c r="E61" s="189">
        <v>29.498055555555556</v>
      </c>
      <c r="F61" t="s">
        <v>1315</v>
      </c>
      <c r="G61">
        <v>4.338</v>
      </c>
      <c r="H61">
        <v>1.019</v>
      </c>
      <c r="I61" t="s">
        <v>1316</v>
      </c>
      <c r="J61" s="189">
        <v>6.019444444444445</v>
      </c>
      <c r="K61" s="189">
        <v>31.034444444444446</v>
      </c>
      <c r="L61">
        <v>6.19</v>
      </c>
      <c r="M61">
        <v>0.08</v>
      </c>
      <c r="N61" t="s">
        <v>1350</v>
      </c>
      <c r="O61" s="189">
        <v>6.205583333333333</v>
      </c>
      <c r="P61" s="189">
        <v>32.69333333333333</v>
      </c>
      <c r="Q61">
        <v>5.776</v>
      </c>
      <c r="R61">
        <v>0.939</v>
      </c>
    </row>
    <row r="62" spans="1:18" ht="13.5">
      <c r="A62" t="s">
        <v>114</v>
      </c>
      <c r="B62" t="s">
        <v>330</v>
      </c>
      <c r="C62" t="s">
        <v>546</v>
      </c>
      <c r="D62" s="189">
        <v>6.2985611666666665</v>
      </c>
      <c r="E62" s="189">
        <v>61.51528638888889</v>
      </c>
      <c r="F62" t="s">
        <v>1111</v>
      </c>
      <c r="G62">
        <v>4.95</v>
      </c>
      <c r="H62">
        <v>1.83</v>
      </c>
      <c r="I62" t="s">
        <v>762</v>
      </c>
      <c r="J62" s="189">
        <v>6.261261416666667</v>
      </c>
      <c r="K62" s="189">
        <v>59.99897555555555</v>
      </c>
      <c r="L62">
        <v>5.35</v>
      </c>
      <c r="M62">
        <v>1.34</v>
      </c>
      <c r="N62" t="s">
        <v>954</v>
      </c>
      <c r="O62" s="189">
        <v>6.166392916666667</v>
      </c>
      <c r="P62" s="189">
        <v>58.935694166666664</v>
      </c>
      <c r="Q62">
        <v>5.358</v>
      </c>
      <c r="R62">
        <v>0.49</v>
      </c>
    </row>
    <row r="63" spans="1:18" ht="13.5">
      <c r="A63" t="s">
        <v>115</v>
      </c>
      <c r="B63" t="s">
        <v>331</v>
      </c>
      <c r="C63" t="s">
        <v>547</v>
      </c>
      <c r="D63" s="189">
        <v>6.313553027777777</v>
      </c>
      <c r="E63" s="189">
        <v>-15.024953611111112</v>
      </c>
      <c r="F63" t="s">
        <v>1138</v>
      </c>
      <c r="G63">
        <v>6.054</v>
      </c>
      <c r="H63">
        <v>1.659</v>
      </c>
      <c r="I63" t="s">
        <v>763</v>
      </c>
      <c r="J63" s="189">
        <v>6.396150861111112</v>
      </c>
      <c r="K63" s="189">
        <v>-15.071256944444444</v>
      </c>
      <c r="L63">
        <v>6.24</v>
      </c>
      <c r="M63">
        <v>1.53</v>
      </c>
      <c r="N63" t="s">
        <v>955</v>
      </c>
      <c r="O63" s="189">
        <v>6.402866694444445</v>
      </c>
      <c r="P63" s="189">
        <v>-11.530087777777778</v>
      </c>
      <c r="Q63">
        <v>5.219</v>
      </c>
      <c r="R63">
        <v>0.129</v>
      </c>
    </row>
    <row r="64" spans="1:18" ht="13.5">
      <c r="A64" t="s">
        <v>1223</v>
      </c>
      <c r="B64" t="s">
        <v>332</v>
      </c>
      <c r="C64" t="s">
        <v>548</v>
      </c>
      <c r="D64" s="189">
        <v>6.382674166666666</v>
      </c>
      <c r="E64" s="189">
        <v>22.513585833333334</v>
      </c>
      <c r="F64" t="s">
        <v>1111</v>
      </c>
      <c r="G64">
        <v>2.88</v>
      </c>
      <c r="H64">
        <v>1.643</v>
      </c>
      <c r="I64" t="s">
        <v>764</v>
      </c>
      <c r="J64" s="189">
        <v>6.271957166666667</v>
      </c>
      <c r="K64" s="189">
        <v>23.97002694444444</v>
      </c>
      <c r="L64">
        <v>6.052</v>
      </c>
      <c r="M64">
        <v>0.894</v>
      </c>
      <c r="N64" t="s">
        <v>956</v>
      </c>
      <c r="O64" s="189">
        <v>6.192307194444445</v>
      </c>
      <c r="P64" s="189">
        <v>24.42025277777778</v>
      </c>
      <c r="Q64">
        <v>5.813</v>
      </c>
      <c r="R64">
        <v>0.749</v>
      </c>
    </row>
    <row r="65" spans="1:18" ht="13.5">
      <c r="A65" t="s">
        <v>116</v>
      </c>
      <c r="B65" t="s">
        <v>333</v>
      </c>
      <c r="C65" t="s">
        <v>549</v>
      </c>
      <c r="D65" s="189">
        <v>6.828141944444444</v>
      </c>
      <c r="E65" s="189">
        <v>32.60675583333334</v>
      </c>
      <c r="F65" t="s">
        <v>1139</v>
      </c>
      <c r="G65">
        <v>5.717</v>
      </c>
      <c r="H65">
        <v>1.297</v>
      </c>
      <c r="I65" t="s">
        <v>765</v>
      </c>
      <c r="J65" s="189">
        <v>6.884316444444444</v>
      </c>
      <c r="K65" s="189">
        <v>35.787994999999995</v>
      </c>
      <c r="L65">
        <v>6.008</v>
      </c>
      <c r="M65">
        <v>1.455</v>
      </c>
      <c r="N65" t="s">
        <v>957</v>
      </c>
      <c r="O65" s="189">
        <v>6.950144305555556</v>
      </c>
      <c r="P65" s="189">
        <v>33.681038611111106</v>
      </c>
      <c r="Q65">
        <v>5.909</v>
      </c>
      <c r="R65">
        <v>0.158</v>
      </c>
    </row>
    <row r="66" spans="1:18" ht="13.5">
      <c r="A66" t="s">
        <v>117</v>
      </c>
      <c r="B66" t="s">
        <v>334</v>
      </c>
      <c r="C66" t="s">
        <v>550</v>
      </c>
      <c r="D66" s="189">
        <v>7.017209194444445</v>
      </c>
      <c r="E66" s="189">
        <v>-3.252538888888889</v>
      </c>
      <c r="F66" t="s">
        <v>1317</v>
      </c>
      <c r="G66">
        <v>7.265</v>
      </c>
      <c r="H66">
        <v>1.769</v>
      </c>
      <c r="I66" t="s">
        <v>766</v>
      </c>
      <c r="J66" s="189">
        <v>7.068124472222222</v>
      </c>
      <c r="K66" s="189">
        <v>-5.323978888888889</v>
      </c>
      <c r="L66">
        <v>5.611</v>
      </c>
      <c r="M66">
        <v>1.292</v>
      </c>
      <c r="N66" t="s">
        <v>958</v>
      </c>
      <c r="O66" s="189">
        <v>7.0050100833333335</v>
      </c>
      <c r="P66" s="189">
        <v>-5.367161944444444</v>
      </c>
      <c r="Q66">
        <v>6.294</v>
      </c>
      <c r="R66">
        <v>0.477</v>
      </c>
    </row>
    <row r="67" spans="1:18" ht="13.5">
      <c r="A67" t="s">
        <v>119</v>
      </c>
      <c r="B67" t="s">
        <v>336</v>
      </c>
      <c r="C67" t="s">
        <v>552</v>
      </c>
      <c r="D67" s="189">
        <v>7.222854416666666</v>
      </c>
      <c r="E67" s="189">
        <v>16.15896611111111</v>
      </c>
      <c r="F67" t="s">
        <v>1117</v>
      </c>
      <c r="G67">
        <v>5.05</v>
      </c>
      <c r="H67">
        <v>1.655</v>
      </c>
      <c r="I67" t="s">
        <v>768</v>
      </c>
      <c r="J67" s="189">
        <v>7.038192583333333</v>
      </c>
      <c r="K67" s="189">
        <v>15.336008055555556</v>
      </c>
      <c r="L67">
        <v>5.75</v>
      </c>
      <c r="M67">
        <v>1.16</v>
      </c>
      <c r="N67" t="s">
        <v>960</v>
      </c>
      <c r="O67" s="189">
        <v>7.139455361111112</v>
      </c>
      <c r="P67" s="189">
        <v>15.930674722222221</v>
      </c>
      <c r="Q67">
        <v>5.457</v>
      </c>
      <c r="R67">
        <v>0.495</v>
      </c>
    </row>
    <row r="68" spans="1:18" ht="13.5">
      <c r="A68" t="s">
        <v>118</v>
      </c>
      <c r="B68" t="s">
        <v>335</v>
      </c>
      <c r="C68" t="s">
        <v>551</v>
      </c>
      <c r="D68" s="189">
        <v>7.223166972222223</v>
      </c>
      <c r="E68" s="189">
        <v>51.42874527777778</v>
      </c>
      <c r="F68" t="s">
        <v>1111</v>
      </c>
      <c r="G68">
        <v>5.485</v>
      </c>
      <c r="H68">
        <v>1.642</v>
      </c>
      <c r="I68" t="s">
        <v>767</v>
      </c>
      <c r="J68" s="189">
        <v>7.292699916666667</v>
      </c>
      <c r="K68" s="189">
        <v>52.13107138888889</v>
      </c>
      <c r="L68">
        <v>5.922</v>
      </c>
      <c r="M68">
        <v>1.256</v>
      </c>
      <c r="N68" t="s">
        <v>959</v>
      </c>
      <c r="O68" s="189">
        <v>7.415857694444445</v>
      </c>
      <c r="P68" s="189">
        <v>51.88725861111111</v>
      </c>
      <c r="Q68">
        <v>5.799</v>
      </c>
      <c r="R68">
        <v>0.386</v>
      </c>
    </row>
    <row r="69" spans="1:18" ht="13.5">
      <c r="A69" t="s">
        <v>123</v>
      </c>
      <c r="B69" t="s">
        <v>340</v>
      </c>
      <c r="C69" t="s">
        <v>556</v>
      </c>
      <c r="D69" s="189">
        <v>7.237558916666667</v>
      </c>
      <c r="E69" s="189">
        <v>-26.352506666666667</v>
      </c>
      <c r="F69" t="s">
        <v>1140</v>
      </c>
      <c r="G69">
        <v>4.638</v>
      </c>
      <c r="H69">
        <v>0.175</v>
      </c>
      <c r="I69" t="s">
        <v>771</v>
      </c>
      <c r="J69" s="189">
        <v>7.296670111111111</v>
      </c>
      <c r="K69" s="189">
        <v>-26.797555833333334</v>
      </c>
      <c r="L69">
        <v>6.433</v>
      </c>
      <c r="M69">
        <v>0.144</v>
      </c>
      <c r="N69" t="s">
        <v>964</v>
      </c>
      <c r="O69" s="189">
        <v>7.226791472222223</v>
      </c>
      <c r="P69" s="189">
        <v>-27.356360000000002</v>
      </c>
      <c r="Q69">
        <v>6.114</v>
      </c>
      <c r="R69">
        <v>0.031</v>
      </c>
    </row>
    <row r="70" spans="1:18" ht="13.5">
      <c r="A70" t="s">
        <v>120</v>
      </c>
      <c r="B70" t="s">
        <v>337</v>
      </c>
      <c r="C70" t="s">
        <v>553</v>
      </c>
      <c r="D70" s="189">
        <v>7.244994416666667</v>
      </c>
      <c r="E70" s="189">
        <v>24.884984444444445</v>
      </c>
      <c r="F70" t="s">
        <v>1127</v>
      </c>
      <c r="G70">
        <v>5.808</v>
      </c>
      <c r="H70">
        <v>1.556</v>
      </c>
      <c r="I70" t="s">
        <v>769</v>
      </c>
      <c r="J70" s="189">
        <v>7.39125313888889</v>
      </c>
      <c r="K70" s="189">
        <v>25.05053138888889</v>
      </c>
      <c r="L70">
        <v>5.035</v>
      </c>
      <c r="M70">
        <v>0.899</v>
      </c>
      <c r="N70" t="s">
        <v>961</v>
      </c>
      <c r="O70" s="189">
        <v>7.2073271666666665</v>
      </c>
      <c r="P70" s="189">
        <v>24.12859361111111</v>
      </c>
      <c r="Q70">
        <v>5.851</v>
      </c>
      <c r="R70">
        <v>0.657</v>
      </c>
    </row>
    <row r="71" spans="1:18" ht="13.5">
      <c r="A71" t="s">
        <v>122</v>
      </c>
      <c r="B71" t="s">
        <v>339</v>
      </c>
      <c r="C71" t="s">
        <v>555</v>
      </c>
      <c r="D71" s="189">
        <v>7.246848361111111</v>
      </c>
      <c r="E71" s="189">
        <v>-26.7726675</v>
      </c>
      <c r="F71" t="s">
        <v>1141</v>
      </c>
      <c r="G71">
        <v>3.831</v>
      </c>
      <c r="H71">
        <v>0.153</v>
      </c>
      <c r="I71" t="s">
        <v>770</v>
      </c>
      <c r="J71" s="189">
        <v>7.139856750000001</v>
      </c>
      <c r="K71" s="189">
        <v>-26.39319972222222</v>
      </c>
      <c r="L71">
        <v>1.83</v>
      </c>
      <c r="M71">
        <v>0.678</v>
      </c>
      <c r="N71" t="s">
        <v>963</v>
      </c>
      <c r="O71" s="189">
        <v>6.977096805555556</v>
      </c>
      <c r="P71" s="189">
        <v>-28.97208361111111</v>
      </c>
      <c r="Q71">
        <v>1.502</v>
      </c>
      <c r="R71">
        <v>0.831</v>
      </c>
    </row>
    <row r="72" spans="1:18" ht="13.5">
      <c r="A72" t="s">
        <v>124</v>
      </c>
      <c r="B72" t="s">
        <v>341</v>
      </c>
      <c r="C72" t="s">
        <v>557</v>
      </c>
      <c r="D72" s="189">
        <v>7.260952805555555</v>
      </c>
      <c r="E72" s="189">
        <v>7.9777425</v>
      </c>
      <c r="F72" t="s">
        <v>1117</v>
      </c>
      <c r="G72">
        <v>5.814</v>
      </c>
      <c r="H72">
        <v>1.593</v>
      </c>
      <c r="I72" t="s">
        <v>772</v>
      </c>
      <c r="J72" s="189">
        <v>7.130413583333333</v>
      </c>
      <c r="K72" s="189">
        <v>7.471213888888889</v>
      </c>
      <c r="L72">
        <v>5.743</v>
      </c>
      <c r="M72">
        <v>1.177</v>
      </c>
      <c r="N72" t="s">
        <v>965</v>
      </c>
      <c r="O72" s="189">
        <v>7.202081194444444</v>
      </c>
      <c r="P72" s="189">
        <v>5.4743466666666665</v>
      </c>
      <c r="Q72">
        <v>6.153</v>
      </c>
      <c r="R72">
        <v>0.416</v>
      </c>
    </row>
    <row r="73" spans="1:18" ht="13.5">
      <c r="A73" t="s">
        <v>121</v>
      </c>
      <c r="B73" t="s">
        <v>338</v>
      </c>
      <c r="C73" t="s">
        <v>554</v>
      </c>
      <c r="D73" s="189">
        <v>7.265879472222222</v>
      </c>
      <c r="E73" s="189">
        <v>27.89741888888889</v>
      </c>
      <c r="F73" t="s">
        <v>1127</v>
      </c>
      <c r="G73">
        <v>5.715</v>
      </c>
      <c r="H73">
        <v>1.61</v>
      </c>
      <c r="I73" t="s">
        <v>769</v>
      </c>
      <c r="J73" s="189">
        <v>7.39125313888889</v>
      </c>
      <c r="K73" s="189">
        <v>25.05053138888889</v>
      </c>
      <c r="L73">
        <v>5.035</v>
      </c>
      <c r="M73">
        <v>0.899</v>
      </c>
      <c r="N73" t="s">
        <v>962</v>
      </c>
      <c r="O73" s="189">
        <v>7.05846075</v>
      </c>
      <c r="P73" s="189">
        <v>29.33708083333333</v>
      </c>
      <c r="Q73">
        <v>5.928</v>
      </c>
      <c r="R73">
        <v>0.711</v>
      </c>
    </row>
    <row r="74" spans="1:18" ht="13.5">
      <c r="A74" t="s">
        <v>125</v>
      </c>
      <c r="B74" t="s">
        <v>342</v>
      </c>
      <c r="C74" t="s">
        <v>558</v>
      </c>
      <c r="D74" s="189">
        <v>7.362254472222222</v>
      </c>
      <c r="E74" s="189">
        <v>69.67075166666667</v>
      </c>
      <c r="F74" t="s">
        <v>1318</v>
      </c>
      <c r="G74">
        <v>8.4</v>
      </c>
      <c r="H74">
        <v>1.255</v>
      </c>
      <c r="I74" t="s">
        <v>773</v>
      </c>
      <c r="J74" s="189">
        <v>7.384087805555556</v>
      </c>
      <c r="K74" s="189">
        <v>70.00009861111111</v>
      </c>
      <c r="L74">
        <v>9.06</v>
      </c>
      <c r="M74">
        <v>1.092</v>
      </c>
      <c r="N74" t="s">
        <v>966</v>
      </c>
      <c r="O74" s="189">
        <v>7.42967225</v>
      </c>
      <c r="P74" s="189">
        <v>69.45487916666667</v>
      </c>
      <c r="Q74">
        <v>8.889</v>
      </c>
      <c r="R74">
        <v>0.163</v>
      </c>
    </row>
    <row r="75" spans="1:18" ht="13.5">
      <c r="A75" t="s">
        <v>127</v>
      </c>
      <c r="B75" t="s">
        <v>344</v>
      </c>
      <c r="C75" t="s">
        <v>560</v>
      </c>
      <c r="D75" s="189">
        <v>7.365794638888889</v>
      </c>
      <c r="E75" s="189">
        <v>20.443658333333335</v>
      </c>
      <c r="F75" t="s">
        <v>1121</v>
      </c>
      <c r="G75">
        <v>5.094</v>
      </c>
      <c r="H75">
        <v>1.526</v>
      </c>
      <c r="I75" t="s">
        <v>775</v>
      </c>
      <c r="J75" s="189">
        <v>7.462323166666667</v>
      </c>
      <c r="K75" s="189">
        <v>21.4452475</v>
      </c>
      <c r="L75">
        <v>5.25</v>
      </c>
      <c r="M75">
        <v>0.42</v>
      </c>
      <c r="N75" t="s">
        <v>968</v>
      </c>
      <c r="O75" s="189">
        <v>7.168521888888889</v>
      </c>
      <c r="P75" s="189">
        <v>21.246985277777778</v>
      </c>
      <c r="Q75">
        <v>6.427</v>
      </c>
      <c r="R75">
        <v>1.106</v>
      </c>
    </row>
    <row r="76" spans="1:18" ht="13.5">
      <c r="A76" t="s">
        <v>128</v>
      </c>
      <c r="B76" t="s">
        <v>345</v>
      </c>
      <c r="C76" t="s">
        <v>561</v>
      </c>
      <c r="D76" s="189">
        <v>7.513185583333334</v>
      </c>
      <c r="E76" s="189">
        <v>-9.776889722222222</v>
      </c>
      <c r="F76" t="s">
        <v>1142</v>
      </c>
      <c r="G76">
        <v>5.66</v>
      </c>
      <c r="H76">
        <v>0.93</v>
      </c>
      <c r="I76" t="s">
        <v>776</v>
      </c>
      <c r="J76" s="189">
        <v>7.516308416666667</v>
      </c>
      <c r="K76" s="189">
        <v>-10.107525277777777</v>
      </c>
      <c r="L76">
        <v>6.574</v>
      </c>
      <c r="M76">
        <v>1.622</v>
      </c>
      <c r="N76" t="s">
        <v>969</v>
      </c>
      <c r="O76" s="189">
        <v>7.4894740833333335</v>
      </c>
      <c r="P76" s="189">
        <v>-10.32666361111111</v>
      </c>
      <c r="Q76">
        <v>5.746</v>
      </c>
      <c r="R76">
        <v>0.692</v>
      </c>
    </row>
    <row r="77" spans="1:18" ht="13.5">
      <c r="A77" t="s">
        <v>126</v>
      </c>
      <c r="B77" t="s">
        <v>343</v>
      </c>
      <c r="C77" t="s">
        <v>559</v>
      </c>
      <c r="D77" s="189">
        <v>7.517906638888888</v>
      </c>
      <c r="E77" s="189">
        <v>82.41146583333334</v>
      </c>
      <c r="F77" t="s">
        <v>1116</v>
      </c>
      <c r="G77">
        <v>4.9</v>
      </c>
      <c r="H77">
        <v>1.64</v>
      </c>
      <c r="I77" t="s">
        <v>774</v>
      </c>
      <c r="J77" s="189">
        <v>7.577723694444444</v>
      </c>
      <c r="K77" s="189">
        <v>80.89669722222223</v>
      </c>
      <c r="L77">
        <v>6.51</v>
      </c>
      <c r="M77">
        <v>0.98</v>
      </c>
      <c r="N77" t="s">
        <v>967</v>
      </c>
      <c r="O77" s="189">
        <v>7.938119527777778</v>
      </c>
      <c r="P77" s="189">
        <v>80.2655425</v>
      </c>
      <c r="Q77">
        <v>6.553</v>
      </c>
      <c r="R77">
        <v>0.66</v>
      </c>
    </row>
    <row r="78" spans="1:18" ht="13.5">
      <c r="A78" t="s">
        <v>129</v>
      </c>
      <c r="B78" t="s">
        <v>346</v>
      </c>
      <c r="C78" t="s">
        <v>562</v>
      </c>
      <c r="D78" s="189">
        <v>7.5987073333333335</v>
      </c>
      <c r="E78" s="189">
        <v>26.89574083333333</v>
      </c>
      <c r="F78" t="s">
        <v>1121</v>
      </c>
      <c r="G78">
        <v>4.058</v>
      </c>
      <c r="H78">
        <v>1.539</v>
      </c>
      <c r="I78" t="s">
        <v>777</v>
      </c>
      <c r="J78" s="189">
        <v>7.740792833333334</v>
      </c>
      <c r="K78" s="189">
        <v>24.3979925</v>
      </c>
      <c r="L78">
        <v>3.568</v>
      </c>
      <c r="M78">
        <v>0.932</v>
      </c>
      <c r="N78" t="s">
        <v>769</v>
      </c>
      <c r="O78" s="189">
        <v>7.39125313888889</v>
      </c>
      <c r="P78" s="189">
        <v>25.05053138888889</v>
      </c>
      <c r="Q78">
        <v>5.035</v>
      </c>
      <c r="R78">
        <v>0.607</v>
      </c>
    </row>
    <row r="79" spans="1:18" ht="13.5">
      <c r="A79" t="s">
        <v>130</v>
      </c>
      <c r="B79" t="s">
        <v>347</v>
      </c>
      <c r="C79" t="s">
        <v>563</v>
      </c>
      <c r="D79" s="189">
        <v>7.700894027777778</v>
      </c>
      <c r="E79" s="189">
        <v>14.208503333333333</v>
      </c>
      <c r="F79" t="s">
        <v>1143</v>
      </c>
      <c r="G79">
        <v>5.554</v>
      </c>
      <c r="H79">
        <v>1.647</v>
      </c>
      <c r="I79" t="s">
        <v>778</v>
      </c>
      <c r="J79" s="189">
        <v>7.679773472222222</v>
      </c>
      <c r="K79" s="189">
        <v>13.771250555555556</v>
      </c>
      <c r="L79">
        <v>6.21</v>
      </c>
      <c r="M79">
        <v>1.4</v>
      </c>
      <c r="N79" t="s">
        <v>970</v>
      </c>
      <c r="O79" s="189">
        <v>7.817176944444444</v>
      </c>
      <c r="P79" s="189">
        <v>13.371868888888889</v>
      </c>
      <c r="Q79">
        <v>6.037</v>
      </c>
      <c r="R79">
        <v>0.247</v>
      </c>
    </row>
    <row r="80" spans="1:18" ht="13.5">
      <c r="A80" t="s">
        <v>131</v>
      </c>
      <c r="B80" t="s">
        <v>348</v>
      </c>
      <c r="C80" t="s">
        <v>564</v>
      </c>
      <c r="D80" s="189">
        <v>7.755263972222222</v>
      </c>
      <c r="E80" s="189">
        <v>28.02619861111111</v>
      </c>
      <c r="F80" t="s">
        <v>1144</v>
      </c>
      <c r="G80">
        <v>1.143</v>
      </c>
      <c r="H80">
        <v>0.997</v>
      </c>
      <c r="I80" t="s">
        <v>779</v>
      </c>
      <c r="J80" s="189">
        <v>7.576628555555556</v>
      </c>
      <c r="K80" s="189">
        <v>31.888276388888887</v>
      </c>
      <c r="L80">
        <v>1.884</v>
      </c>
      <c r="M80">
        <v>0.268</v>
      </c>
      <c r="N80" t="s">
        <v>971</v>
      </c>
      <c r="O80" s="189">
        <v>7.655032861111112</v>
      </c>
      <c r="P80" s="189">
        <v>5.224993055555555</v>
      </c>
      <c r="Q80">
        <v>0.367</v>
      </c>
      <c r="R80">
        <v>1.265</v>
      </c>
    </row>
    <row r="81" spans="1:18" ht="13.5">
      <c r="A81" t="s">
        <v>132</v>
      </c>
      <c r="B81" t="s">
        <v>349</v>
      </c>
      <c r="C81" t="s">
        <v>565</v>
      </c>
      <c r="D81" s="189">
        <v>7.777578194444445</v>
      </c>
      <c r="E81" s="189">
        <v>37.51739416666667</v>
      </c>
      <c r="F81" t="s">
        <v>1111</v>
      </c>
      <c r="G81">
        <v>6.419</v>
      </c>
      <c r="H81">
        <v>1.749</v>
      </c>
      <c r="I81" t="s">
        <v>780</v>
      </c>
      <c r="J81" s="189">
        <v>7.642461805555555</v>
      </c>
      <c r="K81" s="189">
        <v>35.04855027777778</v>
      </c>
      <c r="L81">
        <v>5.556</v>
      </c>
      <c r="M81">
        <v>0.932</v>
      </c>
      <c r="N81" t="s">
        <v>972</v>
      </c>
      <c r="O81" s="189">
        <v>7.652758583333334</v>
      </c>
      <c r="P81" s="189">
        <v>34.58434611111112</v>
      </c>
      <c r="Q81">
        <v>4.9</v>
      </c>
      <c r="R81">
        <v>0.817</v>
      </c>
    </row>
    <row r="82" spans="1:18" ht="13.5">
      <c r="A82" t="s">
        <v>133</v>
      </c>
      <c r="B82" t="s">
        <v>350</v>
      </c>
      <c r="C82" t="s">
        <v>566</v>
      </c>
      <c r="D82" s="189">
        <v>7.795891083333333</v>
      </c>
      <c r="E82" s="189">
        <v>-16.014483055555555</v>
      </c>
      <c r="F82" t="s">
        <v>1145</v>
      </c>
      <c r="G82">
        <v>6.419</v>
      </c>
      <c r="H82">
        <v>1.749</v>
      </c>
      <c r="I82" t="s">
        <v>781</v>
      </c>
      <c r="J82" s="189">
        <v>7.828111472222222</v>
      </c>
      <c r="K82" s="189">
        <v>-17.228407777777775</v>
      </c>
      <c r="L82">
        <v>5.18</v>
      </c>
      <c r="M82">
        <v>1.275</v>
      </c>
      <c r="N82" t="s">
        <v>973</v>
      </c>
      <c r="O82" s="189">
        <v>7.834908138888888</v>
      </c>
      <c r="P82" s="189">
        <v>-19.523548055555555</v>
      </c>
      <c r="Q82">
        <v>6.12</v>
      </c>
      <c r="R82">
        <v>0.474</v>
      </c>
    </row>
    <row r="83" spans="1:18" ht="13.5">
      <c r="A83" t="s">
        <v>134</v>
      </c>
      <c r="B83" t="s">
        <v>351</v>
      </c>
      <c r="C83" t="s">
        <v>567</v>
      </c>
      <c r="D83" s="189">
        <v>7.868663805555556</v>
      </c>
      <c r="E83" s="189">
        <v>3.2773416666666666</v>
      </c>
      <c r="F83" t="s">
        <v>1117</v>
      </c>
      <c r="G83">
        <v>6.31</v>
      </c>
      <c r="H83">
        <v>1.586</v>
      </c>
      <c r="I83" t="s">
        <v>782</v>
      </c>
      <c r="J83" s="189">
        <v>7.939974250000001</v>
      </c>
      <c r="K83" s="189">
        <v>4.485566666666667</v>
      </c>
      <c r="L83">
        <v>6.16</v>
      </c>
      <c r="M83">
        <v>0.979</v>
      </c>
      <c r="N83" t="s">
        <v>974</v>
      </c>
      <c r="O83" s="189">
        <v>7.846498638888889</v>
      </c>
      <c r="P83" s="189">
        <v>3.2772530555555557</v>
      </c>
      <c r="Q83">
        <v>6.175</v>
      </c>
      <c r="R83">
        <v>0.607</v>
      </c>
    </row>
    <row r="84" spans="1:18" ht="13.5">
      <c r="A84" t="s">
        <v>135</v>
      </c>
      <c r="B84" t="s">
        <v>352</v>
      </c>
      <c r="C84" t="s">
        <v>568</v>
      </c>
      <c r="D84" s="189">
        <v>8.105109666666666</v>
      </c>
      <c r="E84" s="189">
        <v>22.63548972222222</v>
      </c>
      <c r="F84" t="s">
        <v>1111</v>
      </c>
      <c r="G84">
        <v>5.98</v>
      </c>
      <c r="H84">
        <v>1.652</v>
      </c>
      <c r="I84" t="s">
        <v>783</v>
      </c>
      <c r="J84" s="189">
        <v>8.129404361111112</v>
      </c>
      <c r="K84" s="189">
        <v>21.581815833333334</v>
      </c>
      <c r="L84">
        <v>5.296</v>
      </c>
      <c r="M84">
        <v>0.638</v>
      </c>
      <c r="N84" t="s">
        <v>975</v>
      </c>
      <c r="O84" s="189">
        <v>8.016883611111112</v>
      </c>
      <c r="P84" s="189">
        <v>23.583093055555555</v>
      </c>
      <c r="Q84">
        <v>6.31</v>
      </c>
      <c r="R84">
        <v>1.014</v>
      </c>
    </row>
    <row r="85" spans="1:18" ht="13.5">
      <c r="A85" t="s">
        <v>136</v>
      </c>
      <c r="B85" t="s">
        <v>353</v>
      </c>
      <c r="C85" t="s">
        <v>569</v>
      </c>
      <c r="D85" s="189">
        <v>8.321432722222221</v>
      </c>
      <c r="E85" s="189">
        <v>62.50715944444445</v>
      </c>
      <c r="F85" t="s">
        <v>1146</v>
      </c>
      <c r="G85">
        <v>5.714</v>
      </c>
      <c r="H85">
        <v>0.889</v>
      </c>
      <c r="I85" t="s">
        <v>784</v>
      </c>
      <c r="J85" s="189">
        <v>9.239039055555555</v>
      </c>
      <c r="K85" s="189">
        <v>61.423317499999996</v>
      </c>
      <c r="L85">
        <v>5.169</v>
      </c>
      <c r="M85">
        <v>0.578</v>
      </c>
      <c r="N85" t="s">
        <v>976</v>
      </c>
      <c r="O85" s="189">
        <v>8.670227388888888</v>
      </c>
      <c r="P85" s="189">
        <v>64.32793611111111</v>
      </c>
      <c r="Q85">
        <v>4.6</v>
      </c>
      <c r="R85">
        <v>0.311</v>
      </c>
    </row>
    <row r="86" spans="1:18" ht="13.5">
      <c r="A86" t="s">
        <v>137</v>
      </c>
      <c r="B86" t="s">
        <v>354</v>
      </c>
      <c r="C86" t="s">
        <v>570</v>
      </c>
      <c r="D86" s="189">
        <v>8.44553875</v>
      </c>
      <c r="E86" s="189">
        <v>12.654612222222223</v>
      </c>
      <c r="F86" t="s">
        <v>1111</v>
      </c>
      <c r="G86">
        <v>5.517</v>
      </c>
      <c r="H86">
        <v>1.609</v>
      </c>
      <c r="I86" t="s">
        <v>785</v>
      </c>
      <c r="J86" s="189">
        <v>8.562512583333334</v>
      </c>
      <c r="K86" s="189">
        <v>13.257311388888889</v>
      </c>
      <c r="L86">
        <v>6.28</v>
      </c>
      <c r="M86">
        <v>1.17</v>
      </c>
      <c r="N86" t="s">
        <v>977</v>
      </c>
      <c r="O86" s="189">
        <v>8.239165194444444</v>
      </c>
      <c r="P86" s="189">
        <v>13.048295555555555</v>
      </c>
      <c r="Q86">
        <v>6.356</v>
      </c>
      <c r="R86">
        <v>0.439</v>
      </c>
    </row>
    <row r="87" spans="1:18" ht="13.5">
      <c r="A87" t="s">
        <v>138</v>
      </c>
      <c r="B87" t="s">
        <v>355</v>
      </c>
      <c r="C87" t="s">
        <v>571</v>
      </c>
      <c r="D87" s="189">
        <v>8.504408333333334</v>
      </c>
      <c r="E87" s="189">
        <v>60.71816916666667</v>
      </c>
      <c r="F87" t="s">
        <v>1147</v>
      </c>
      <c r="G87">
        <v>3.365</v>
      </c>
      <c r="H87">
        <v>0.844</v>
      </c>
      <c r="I87" t="s">
        <v>784</v>
      </c>
      <c r="J87" s="189">
        <v>9.239039055555555</v>
      </c>
      <c r="K87" s="189">
        <v>61.423317499999996</v>
      </c>
      <c r="L87">
        <v>5.169</v>
      </c>
      <c r="M87">
        <v>0.578</v>
      </c>
      <c r="N87" t="s">
        <v>976</v>
      </c>
      <c r="O87" s="189">
        <v>8.670227388888888</v>
      </c>
      <c r="P87" s="189">
        <v>64.32793611111111</v>
      </c>
      <c r="Q87">
        <v>4.6</v>
      </c>
      <c r="R87">
        <v>0.266</v>
      </c>
    </row>
    <row r="88" spans="1:18" ht="13.5">
      <c r="A88" t="s">
        <v>140</v>
      </c>
      <c r="B88" t="s">
        <v>357</v>
      </c>
      <c r="C88" t="s">
        <v>573</v>
      </c>
      <c r="D88" s="189">
        <v>8.66487275</v>
      </c>
      <c r="E88" s="189">
        <v>-17.302978055555556</v>
      </c>
      <c r="F88" t="s">
        <v>1124</v>
      </c>
      <c r="G88">
        <v>6.673</v>
      </c>
      <c r="H88">
        <v>1.545</v>
      </c>
      <c r="I88" t="s">
        <v>786</v>
      </c>
      <c r="J88" s="189">
        <v>8.77931925</v>
      </c>
      <c r="K88" s="189">
        <v>-18.75783638888889</v>
      </c>
      <c r="L88">
        <v>6.589</v>
      </c>
      <c r="M88">
        <v>1.036</v>
      </c>
      <c r="N88" t="s">
        <v>978</v>
      </c>
      <c r="O88" s="189">
        <v>8.542600083333333</v>
      </c>
      <c r="P88" s="189">
        <v>-15.030143333333335</v>
      </c>
      <c r="Q88">
        <v>6.375</v>
      </c>
      <c r="R88">
        <v>0.509</v>
      </c>
    </row>
    <row r="89" spans="1:18" ht="13.5">
      <c r="A89" t="s">
        <v>139</v>
      </c>
      <c r="B89" t="s">
        <v>356</v>
      </c>
      <c r="C89" t="s">
        <v>572</v>
      </c>
      <c r="D89" s="189">
        <v>8.670227388888888</v>
      </c>
      <c r="E89" s="189">
        <v>64.32793611111111</v>
      </c>
      <c r="F89" t="s">
        <v>1148</v>
      </c>
      <c r="G89">
        <v>4.6</v>
      </c>
      <c r="H89">
        <v>1.178</v>
      </c>
      <c r="I89" t="s">
        <v>784</v>
      </c>
      <c r="J89" s="189">
        <v>9.239039055555555</v>
      </c>
      <c r="K89" s="189">
        <v>61.423317499999996</v>
      </c>
      <c r="L89">
        <v>5.169</v>
      </c>
      <c r="M89">
        <v>0.578</v>
      </c>
      <c r="N89" t="s">
        <v>976</v>
      </c>
      <c r="O89" s="189">
        <v>8.670227388888888</v>
      </c>
      <c r="P89" s="189">
        <v>64.32793611111111</v>
      </c>
      <c r="Q89">
        <v>4.6</v>
      </c>
      <c r="R89">
        <v>0.6</v>
      </c>
    </row>
    <row r="90" spans="1:18" ht="13.5">
      <c r="A90" t="s">
        <v>141</v>
      </c>
      <c r="B90" t="s">
        <v>358</v>
      </c>
      <c r="C90" t="s">
        <v>574</v>
      </c>
      <c r="D90" s="189">
        <v>8.874607972222222</v>
      </c>
      <c r="E90" s="189">
        <v>28.259158888888887</v>
      </c>
      <c r="F90" t="s">
        <v>1111</v>
      </c>
      <c r="G90">
        <v>6.229</v>
      </c>
      <c r="H90">
        <v>1.608</v>
      </c>
      <c r="I90" t="s">
        <v>787</v>
      </c>
      <c r="J90" s="189">
        <v>8.876614222222223</v>
      </c>
      <c r="K90" s="189">
        <v>28.33081861111111</v>
      </c>
      <c r="L90">
        <v>5.942</v>
      </c>
      <c r="M90">
        <v>0.86</v>
      </c>
      <c r="N90" t="s">
        <v>979</v>
      </c>
      <c r="O90" s="189">
        <v>8.927688583333333</v>
      </c>
      <c r="P90" s="189">
        <v>27.92748166666667</v>
      </c>
      <c r="Q90">
        <v>5.237</v>
      </c>
      <c r="R90">
        <v>0.748</v>
      </c>
    </row>
    <row r="91" spans="1:18" ht="13.5">
      <c r="A91" t="s">
        <v>142</v>
      </c>
      <c r="B91" t="s">
        <v>359</v>
      </c>
      <c r="C91" t="s">
        <v>575</v>
      </c>
      <c r="D91" s="189">
        <v>8.923022472222222</v>
      </c>
      <c r="E91" s="189">
        <v>17.23127583333333</v>
      </c>
      <c r="F91" t="s">
        <v>1319</v>
      </c>
      <c r="G91">
        <v>6.647</v>
      </c>
      <c r="H91">
        <v>3.365</v>
      </c>
      <c r="I91" t="s">
        <v>788</v>
      </c>
      <c r="J91" s="189">
        <v>8.952299833333333</v>
      </c>
      <c r="K91" s="189">
        <v>17.143750833333332</v>
      </c>
      <c r="L91">
        <v>6.171</v>
      </c>
      <c r="M91">
        <v>1.001</v>
      </c>
      <c r="N91" t="s">
        <v>980</v>
      </c>
      <c r="O91" s="189">
        <v>8.744749888888888</v>
      </c>
      <c r="P91" s="189">
        <v>18.15430861111111</v>
      </c>
      <c r="Q91">
        <v>3.937</v>
      </c>
      <c r="R91">
        <v>2.364</v>
      </c>
    </row>
    <row r="92" spans="1:18" ht="13.5">
      <c r="A92" t="s">
        <v>143</v>
      </c>
      <c r="B92" t="s">
        <v>360</v>
      </c>
      <c r="C92" t="s">
        <v>576</v>
      </c>
      <c r="D92" s="189">
        <v>8.986313749999999</v>
      </c>
      <c r="E92" s="189">
        <v>18.134866666666667</v>
      </c>
      <c r="F92" t="s">
        <v>1149</v>
      </c>
      <c r="G92">
        <v>6.378</v>
      </c>
      <c r="H92">
        <v>1.548</v>
      </c>
      <c r="I92" t="s">
        <v>789</v>
      </c>
      <c r="J92" s="189">
        <v>8.952299833333333</v>
      </c>
      <c r="K92" s="189">
        <v>17.143750833333332</v>
      </c>
      <c r="L92">
        <v>6.171</v>
      </c>
      <c r="M92">
        <v>1.001</v>
      </c>
      <c r="N92" t="s">
        <v>981</v>
      </c>
      <c r="O92" s="189">
        <v>8.850405861111112</v>
      </c>
      <c r="P92" s="189">
        <v>15.350650833333333</v>
      </c>
      <c r="Q92">
        <v>6.378</v>
      </c>
      <c r="R92">
        <v>0.547</v>
      </c>
    </row>
    <row r="93" spans="1:18" ht="13.5">
      <c r="A93" t="s">
        <v>144</v>
      </c>
      <c r="B93" t="s">
        <v>361</v>
      </c>
      <c r="C93" t="s">
        <v>577</v>
      </c>
      <c r="D93" s="189">
        <v>9.042414472222221</v>
      </c>
      <c r="E93" s="189">
        <v>67.62961888888888</v>
      </c>
      <c r="F93" t="s">
        <v>1111</v>
      </c>
      <c r="G93">
        <v>4.753</v>
      </c>
      <c r="H93">
        <v>1.54</v>
      </c>
      <c r="I93" t="s">
        <v>790</v>
      </c>
      <c r="J93" s="189">
        <v>9.139860833333334</v>
      </c>
      <c r="K93" s="189">
        <v>66.87323472222222</v>
      </c>
      <c r="L93">
        <v>5.139</v>
      </c>
      <c r="M93">
        <v>1.51</v>
      </c>
      <c r="N93" t="s">
        <v>982</v>
      </c>
      <c r="O93" s="189">
        <v>8.94373388888889</v>
      </c>
      <c r="P93" s="189">
        <v>64.60383138888888</v>
      </c>
      <c r="Q93">
        <v>5.589</v>
      </c>
      <c r="R93">
        <v>0.03</v>
      </c>
    </row>
    <row r="94" spans="1:18" ht="13.5">
      <c r="A94" t="s">
        <v>145</v>
      </c>
      <c r="B94" t="s">
        <v>362</v>
      </c>
      <c r="C94" t="s">
        <v>578</v>
      </c>
      <c r="D94" s="189">
        <v>9.177444166666666</v>
      </c>
      <c r="E94" s="189">
        <v>30.96313888888889</v>
      </c>
      <c r="F94" t="s">
        <v>1150</v>
      </c>
      <c r="G94">
        <v>5.9</v>
      </c>
      <c r="H94">
        <v>1.625</v>
      </c>
      <c r="I94" t="s">
        <v>791</v>
      </c>
      <c r="J94" s="189">
        <v>9.134487777777776</v>
      </c>
      <c r="K94" s="189">
        <v>32.54039888888889</v>
      </c>
      <c r="L94">
        <v>6.485</v>
      </c>
      <c r="M94">
        <v>0.36</v>
      </c>
      <c r="N94" t="s">
        <v>983</v>
      </c>
      <c r="O94" s="189">
        <v>9.147519583333333</v>
      </c>
      <c r="P94" s="189">
        <v>33.882216944444444</v>
      </c>
      <c r="Q94">
        <v>5.964</v>
      </c>
      <c r="R94">
        <v>1.265</v>
      </c>
    </row>
    <row r="95" spans="1:18" ht="13.5">
      <c r="A95" t="s">
        <v>146</v>
      </c>
      <c r="B95" t="s">
        <v>363</v>
      </c>
      <c r="C95" t="s">
        <v>579</v>
      </c>
      <c r="D95" s="189">
        <v>9.23833075</v>
      </c>
      <c r="E95" s="189">
        <v>-55.569629444444445</v>
      </c>
      <c r="F95" t="s">
        <v>1151</v>
      </c>
      <c r="G95">
        <v>5.267</v>
      </c>
      <c r="H95">
        <v>0.987</v>
      </c>
      <c r="I95" t="s">
        <v>792</v>
      </c>
      <c r="J95" s="189">
        <v>9.55843413888889</v>
      </c>
      <c r="K95" s="189">
        <v>36.48694944444445</v>
      </c>
      <c r="L95">
        <v>6.178</v>
      </c>
      <c r="M95">
        <v>1.264</v>
      </c>
      <c r="N95" t="s">
        <v>984</v>
      </c>
      <c r="O95" s="189">
        <v>9.570383861111111</v>
      </c>
      <c r="P95" s="189">
        <v>36.39755777777778</v>
      </c>
      <c r="Q95">
        <v>4.554</v>
      </c>
      <c r="R95">
        <v>0.277</v>
      </c>
    </row>
    <row r="96" spans="1:18" ht="13.5">
      <c r="A96" t="s">
        <v>147</v>
      </c>
      <c r="B96" t="s">
        <v>364</v>
      </c>
      <c r="C96" t="s">
        <v>580</v>
      </c>
      <c r="D96" s="189">
        <v>9.343523083333334</v>
      </c>
      <c r="E96" s="189">
        <v>0.18170444444444445</v>
      </c>
      <c r="F96" t="s">
        <v>1131</v>
      </c>
      <c r="G96">
        <v>6.5</v>
      </c>
      <c r="H96">
        <v>1.7</v>
      </c>
      <c r="I96" t="s">
        <v>793</v>
      </c>
      <c r="J96" s="189">
        <v>9.43953025</v>
      </c>
      <c r="K96" s="189">
        <v>-1.4640783333333334</v>
      </c>
      <c r="L96">
        <v>6.005</v>
      </c>
      <c r="M96">
        <v>1.32</v>
      </c>
      <c r="N96" t="s">
        <v>985</v>
      </c>
      <c r="O96" s="189">
        <v>9.43439163888889</v>
      </c>
      <c r="P96" s="189">
        <v>-1.2349400000000001</v>
      </c>
      <c r="Q96">
        <v>6.576</v>
      </c>
      <c r="R96">
        <v>0.38</v>
      </c>
    </row>
    <row r="97" spans="1:18" ht="13.5">
      <c r="A97" t="s">
        <v>148</v>
      </c>
      <c r="B97" t="s">
        <v>365</v>
      </c>
      <c r="C97" t="s">
        <v>581</v>
      </c>
      <c r="D97" s="189">
        <v>9.525474472222223</v>
      </c>
      <c r="E97" s="189">
        <v>63.06186083333333</v>
      </c>
      <c r="F97" t="s">
        <v>1152</v>
      </c>
      <c r="G97">
        <v>3.662</v>
      </c>
      <c r="H97">
        <v>0.329</v>
      </c>
      <c r="I97" t="s">
        <v>784</v>
      </c>
      <c r="J97" s="189">
        <v>9.239039055555555</v>
      </c>
      <c r="K97" s="189">
        <v>61.423317499999996</v>
      </c>
      <c r="L97">
        <v>5.169</v>
      </c>
      <c r="M97">
        <v>0.578</v>
      </c>
      <c r="N97" t="s">
        <v>976</v>
      </c>
      <c r="O97" s="189">
        <v>8.670227388888888</v>
      </c>
      <c r="P97" s="189">
        <v>64.32793611111111</v>
      </c>
      <c r="Q97">
        <v>4.6</v>
      </c>
      <c r="R97">
        <v>0.249</v>
      </c>
    </row>
    <row r="98" spans="1:18" ht="13.5">
      <c r="A98" t="s">
        <v>149</v>
      </c>
      <c r="B98" t="s">
        <v>366</v>
      </c>
      <c r="C98" t="s">
        <v>582</v>
      </c>
      <c r="D98" s="189">
        <v>9.52566952777778</v>
      </c>
      <c r="E98" s="189">
        <v>35.10327277777778</v>
      </c>
      <c r="F98" t="s">
        <v>1127</v>
      </c>
      <c r="G98">
        <v>5.386</v>
      </c>
      <c r="H98">
        <v>1.52</v>
      </c>
      <c r="I98" t="s">
        <v>794</v>
      </c>
      <c r="J98" s="189">
        <v>9.512005194444445</v>
      </c>
      <c r="K98" s="189">
        <v>33.65571055555555</v>
      </c>
      <c r="L98">
        <v>5.849</v>
      </c>
      <c r="M98">
        <v>1.046</v>
      </c>
      <c r="N98" t="s">
        <v>986</v>
      </c>
      <c r="O98" s="189">
        <v>9.594306194444446</v>
      </c>
      <c r="P98" s="189">
        <v>35.810133611111105</v>
      </c>
      <c r="Q98">
        <v>5.409</v>
      </c>
      <c r="R98">
        <v>0.474</v>
      </c>
    </row>
    <row r="99" spans="1:18" ht="13.5">
      <c r="A99" t="s">
        <v>150</v>
      </c>
      <c r="B99" t="s">
        <v>367</v>
      </c>
      <c r="C99" t="s">
        <v>583</v>
      </c>
      <c r="D99" s="189">
        <v>9.528674472222223</v>
      </c>
      <c r="E99" s="189">
        <v>22.967970555555553</v>
      </c>
      <c r="F99" t="s">
        <v>1153</v>
      </c>
      <c r="G99">
        <v>4.314</v>
      </c>
      <c r="H99">
        <v>1.539</v>
      </c>
      <c r="I99" t="s">
        <v>795</v>
      </c>
      <c r="J99" s="189">
        <v>9.410905305555556</v>
      </c>
      <c r="K99" s="189">
        <v>26.182324166666668</v>
      </c>
      <c r="L99">
        <v>4.463</v>
      </c>
      <c r="M99">
        <v>1.223</v>
      </c>
      <c r="N99" t="s">
        <v>987</v>
      </c>
      <c r="O99" s="189">
        <v>9.155981583333334</v>
      </c>
      <c r="P99" s="189">
        <v>22.045445555555556</v>
      </c>
      <c r="Q99">
        <v>5.149</v>
      </c>
      <c r="R99">
        <v>0.316</v>
      </c>
    </row>
    <row r="100" spans="1:18" ht="13.5">
      <c r="A100" t="s">
        <v>151</v>
      </c>
      <c r="B100" t="s">
        <v>368</v>
      </c>
      <c r="C100" t="s">
        <v>584</v>
      </c>
      <c r="D100" s="189">
        <v>9.61190336111111</v>
      </c>
      <c r="E100" s="189">
        <v>31.16173444444444</v>
      </c>
      <c r="F100" t="s">
        <v>1112</v>
      </c>
      <c r="G100">
        <v>5.573</v>
      </c>
      <c r="H100">
        <v>1.572</v>
      </c>
      <c r="I100" t="s">
        <v>796</v>
      </c>
      <c r="J100" s="189">
        <v>9.693087777777778</v>
      </c>
      <c r="K100" s="189">
        <v>31.27781722222222</v>
      </c>
      <c r="L100">
        <v>5.896</v>
      </c>
      <c r="M100">
        <v>1.579</v>
      </c>
      <c r="N100" t="s">
        <v>794</v>
      </c>
      <c r="O100" s="189">
        <v>9.512005194444445</v>
      </c>
      <c r="P100" s="189">
        <v>33.65571055555555</v>
      </c>
      <c r="Q100">
        <v>5.849</v>
      </c>
      <c r="R100">
        <v>0.007</v>
      </c>
    </row>
    <row r="101" spans="1:18" ht="13.5">
      <c r="A101" t="s">
        <v>152</v>
      </c>
      <c r="B101" t="s">
        <v>369</v>
      </c>
      <c r="C101" t="s">
        <v>585</v>
      </c>
      <c r="D101" s="189">
        <v>9.728862388888889</v>
      </c>
      <c r="E101" s="189">
        <v>14.021691944444445</v>
      </c>
      <c r="F101" t="s">
        <v>1112</v>
      </c>
      <c r="G101">
        <v>5.358</v>
      </c>
      <c r="H101">
        <v>1.604</v>
      </c>
      <c r="I101" t="s">
        <v>797</v>
      </c>
      <c r="J101" s="189">
        <v>9.773146638888889</v>
      </c>
      <c r="K101" s="189">
        <v>11.810043055555557</v>
      </c>
      <c r="L101">
        <v>5.633</v>
      </c>
      <c r="M101">
        <v>1.489</v>
      </c>
      <c r="N101" t="s">
        <v>988</v>
      </c>
      <c r="O101" s="189">
        <v>9.850551277777777</v>
      </c>
      <c r="P101" s="189">
        <v>13.06623888888889</v>
      </c>
      <c r="Q101">
        <v>6.472</v>
      </c>
      <c r="R101">
        <v>0.115</v>
      </c>
    </row>
    <row r="102" spans="1:18" ht="13.5">
      <c r="A102" t="s">
        <v>1224</v>
      </c>
      <c r="B102" t="s">
        <v>1225</v>
      </c>
      <c r="C102" t="s">
        <v>1226</v>
      </c>
      <c r="D102" s="189">
        <v>9.92861111111111</v>
      </c>
      <c r="E102" s="189">
        <v>49.819722222222225</v>
      </c>
      <c r="F102" t="s">
        <v>1227</v>
      </c>
      <c r="G102">
        <v>5.28</v>
      </c>
      <c r="H102">
        <v>0.07</v>
      </c>
      <c r="I102" t="s">
        <v>1228</v>
      </c>
      <c r="J102" s="189">
        <v>9.547611111111111</v>
      </c>
      <c r="K102" s="189">
        <v>51.67722222222222</v>
      </c>
      <c r="L102">
        <v>3.175</v>
      </c>
      <c r="M102">
        <v>0.462</v>
      </c>
      <c r="N102" t="s">
        <v>1229</v>
      </c>
      <c r="O102" s="189">
        <v>9.580388888888889</v>
      </c>
      <c r="P102" s="189">
        <v>52.05138888888889</v>
      </c>
      <c r="Q102">
        <v>4.501</v>
      </c>
      <c r="R102">
        <v>0.392</v>
      </c>
    </row>
    <row r="103" spans="1:18" ht="13.5">
      <c r="A103" t="s">
        <v>153</v>
      </c>
      <c r="B103" t="s">
        <v>370</v>
      </c>
      <c r="C103" t="s">
        <v>586</v>
      </c>
      <c r="D103" s="189">
        <v>10.003557388888888</v>
      </c>
      <c r="E103" s="189">
        <v>8.044223055555555</v>
      </c>
      <c r="F103" t="s">
        <v>1112</v>
      </c>
      <c r="G103">
        <v>4.692</v>
      </c>
      <c r="H103">
        <v>1.6</v>
      </c>
      <c r="I103" t="s">
        <v>798</v>
      </c>
      <c r="J103" s="189">
        <v>10.13174188888889</v>
      </c>
      <c r="K103" s="189">
        <v>9.997507777777777</v>
      </c>
      <c r="L103">
        <v>4.374</v>
      </c>
      <c r="M103">
        <v>1.442</v>
      </c>
      <c r="N103" t="s">
        <v>989</v>
      </c>
      <c r="O103" s="189">
        <v>9.940548972222222</v>
      </c>
      <c r="P103" s="189">
        <v>8.933157222222222</v>
      </c>
      <c r="Q103">
        <v>5.845</v>
      </c>
      <c r="R103">
        <v>0.158</v>
      </c>
    </row>
    <row r="104" spans="1:18" ht="13.5">
      <c r="A104" t="s">
        <v>154</v>
      </c>
      <c r="B104" t="s">
        <v>371</v>
      </c>
      <c r="C104" t="s">
        <v>587</v>
      </c>
      <c r="D104" s="189">
        <v>10.25212975</v>
      </c>
      <c r="E104" s="189">
        <v>59.98553944444445</v>
      </c>
      <c r="F104" t="s">
        <v>1154</v>
      </c>
      <c r="G104">
        <v>6.225</v>
      </c>
      <c r="H104">
        <v>1.61</v>
      </c>
      <c r="I104" t="s">
        <v>799</v>
      </c>
      <c r="J104" s="189">
        <v>10.341985916666667</v>
      </c>
      <c r="K104" s="189">
        <v>54.216838888888894</v>
      </c>
      <c r="L104">
        <v>6.005</v>
      </c>
      <c r="M104">
        <v>1.128</v>
      </c>
      <c r="N104" t="s">
        <v>990</v>
      </c>
      <c r="O104" s="189">
        <v>10.337442361111112</v>
      </c>
      <c r="P104" s="189">
        <v>53.77939083333333</v>
      </c>
      <c r="Q104">
        <v>6.45</v>
      </c>
      <c r="R104">
        <v>0.482</v>
      </c>
    </row>
    <row r="105" spans="1:18" ht="13.5">
      <c r="A105" t="s">
        <v>155</v>
      </c>
      <c r="B105" t="s">
        <v>372</v>
      </c>
      <c r="C105" t="s">
        <v>588</v>
      </c>
      <c r="D105" s="189">
        <v>10.372150166666668</v>
      </c>
      <c r="E105" s="189">
        <v>41.49951638888889</v>
      </c>
      <c r="F105" t="s">
        <v>1121</v>
      </c>
      <c r="G105">
        <v>3.05</v>
      </c>
      <c r="H105">
        <v>1.582</v>
      </c>
      <c r="I105" t="s">
        <v>800</v>
      </c>
      <c r="J105" s="189">
        <v>10.369600583333334</v>
      </c>
      <c r="K105" s="189">
        <v>41.229530000000004</v>
      </c>
      <c r="L105">
        <v>5.78</v>
      </c>
      <c r="M105">
        <v>0.53</v>
      </c>
      <c r="N105" t="s">
        <v>991</v>
      </c>
      <c r="O105" s="189">
        <v>10.553857861111112</v>
      </c>
      <c r="P105" s="189">
        <v>40.42556</v>
      </c>
      <c r="Q105">
        <v>4.747</v>
      </c>
      <c r="R105">
        <v>1.052</v>
      </c>
    </row>
    <row r="106" spans="1:18" ht="13.5">
      <c r="A106" t="s">
        <v>156</v>
      </c>
      <c r="B106" t="s">
        <v>373</v>
      </c>
      <c r="C106" t="s">
        <v>589</v>
      </c>
      <c r="D106" s="189">
        <v>10.699042138888888</v>
      </c>
      <c r="E106" s="189">
        <v>65.71627972222223</v>
      </c>
      <c r="F106" t="s">
        <v>1155</v>
      </c>
      <c r="G106">
        <v>5.12</v>
      </c>
      <c r="H106">
        <v>1.205</v>
      </c>
      <c r="I106" t="s">
        <v>801</v>
      </c>
      <c r="J106" s="189">
        <v>10.696738472222222</v>
      </c>
      <c r="K106" s="189">
        <v>68.44349972222223</v>
      </c>
      <c r="L106">
        <v>5.749</v>
      </c>
      <c r="M106">
        <v>1.304</v>
      </c>
      <c r="N106" t="s">
        <v>992</v>
      </c>
      <c r="O106" s="189">
        <v>10.717788861111112</v>
      </c>
      <c r="P106" s="189">
        <v>69.07621388888889</v>
      </c>
      <c r="Q106">
        <v>5</v>
      </c>
      <c r="R106">
        <v>0.099</v>
      </c>
    </row>
    <row r="107" spans="1:18" ht="13.5">
      <c r="A107" t="s">
        <v>157</v>
      </c>
      <c r="B107" t="s">
        <v>374</v>
      </c>
      <c r="C107" t="s">
        <v>590</v>
      </c>
      <c r="D107" s="189">
        <v>10.703129833333332</v>
      </c>
      <c r="E107" s="189">
        <v>31.696997500000002</v>
      </c>
      <c r="F107" t="s">
        <v>1112</v>
      </c>
      <c r="G107">
        <v>5.997</v>
      </c>
      <c r="H107">
        <v>1.617</v>
      </c>
      <c r="I107" t="s">
        <v>802</v>
      </c>
      <c r="J107" s="189">
        <v>10.928995666666665</v>
      </c>
      <c r="K107" s="189">
        <v>33.506928611111114</v>
      </c>
      <c r="L107">
        <v>5.024</v>
      </c>
      <c r="M107">
        <v>1.1</v>
      </c>
      <c r="N107" t="s">
        <v>993</v>
      </c>
      <c r="O107" s="189">
        <v>10.916160972222222</v>
      </c>
      <c r="P107" s="189">
        <v>34.034797777777776</v>
      </c>
      <c r="Q107">
        <v>5.72</v>
      </c>
      <c r="R107">
        <v>0.517</v>
      </c>
    </row>
    <row r="108" spans="1:18" ht="13.5">
      <c r="A108" t="s">
        <v>159</v>
      </c>
      <c r="B108" t="s">
        <v>376</v>
      </c>
      <c r="C108" t="s">
        <v>592</v>
      </c>
      <c r="D108" s="189">
        <v>10.7509975</v>
      </c>
      <c r="E108" s="189">
        <v>-59.68451666666666</v>
      </c>
      <c r="F108" t="s">
        <v>1320</v>
      </c>
      <c r="G108">
        <v>6.207</v>
      </c>
      <c r="H108">
        <v>0.613</v>
      </c>
      <c r="I108" t="s">
        <v>804</v>
      </c>
      <c r="J108" s="189">
        <v>10.605699527777777</v>
      </c>
      <c r="K108" s="189">
        <v>-59.5643925</v>
      </c>
      <c r="L108">
        <v>5.075</v>
      </c>
      <c r="M108">
        <v>1.175</v>
      </c>
      <c r="N108" t="s">
        <v>995</v>
      </c>
      <c r="O108" s="189">
        <v>10.795643638888889</v>
      </c>
      <c r="P108" s="189">
        <v>-59.875257222222224</v>
      </c>
      <c r="Q108">
        <v>6.47</v>
      </c>
      <c r="R108">
        <v>0.562</v>
      </c>
    </row>
    <row r="109" spans="1:18" ht="13.5">
      <c r="A109" t="s">
        <v>158</v>
      </c>
      <c r="B109" t="s">
        <v>375</v>
      </c>
      <c r="C109" t="s">
        <v>591</v>
      </c>
      <c r="D109" s="189">
        <v>10.75111925</v>
      </c>
      <c r="E109" s="189">
        <v>67.41138416666668</v>
      </c>
      <c r="F109" t="s">
        <v>1319</v>
      </c>
      <c r="G109">
        <v>5.986</v>
      </c>
      <c r="H109">
        <v>2.412</v>
      </c>
      <c r="I109" t="s">
        <v>803</v>
      </c>
      <c r="J109" s="189">
        <v>10.696738472222222</v>
      </c>
      <c r="K109" s="189">
        <v>68.44349972222223</v>
      </c>
      <c r="L109">
        <v>5.749</v>
      </c>
      <c r="M109">
        <v>1.304</v>
      </c>
      <c r="N109" t="s">
        <v>994</v>
      </c>
      <c r="O109" s="189">
        <v>10.717788861111112</v>
      </c>
      <c r="P109" s="189">
        <v>69.07621388888889</v>
      </c>
      <c r="Q109">
        <v>5</v>
      </c>
      <c r="R109">
        <v>1.108</v>
      </c>
    </row>
    <row r="110" spans="1:18" ht="13.5">
      <c r="A110" t="s">
        <v>160</v>
      </c>
      <c r="B110" t="s">
        <v>377</v>
      </c>
      <c r="C110" t="s">
        <v>593</v>
      </c>
      <c r="D110" s="189">
        <v>10.93374163888889</v>
      </c>
      <c r="E110" s="189">
        <v>6.185370833333334</v>
      </c>
      <c r="F110" t="s">
        <v>1321</v>
      </c>
      <c r="G110">
        <v>5.806</v>
      </c>
      <c r="H110">
        <v>1.451</v>
      </c>
      <c r="I110" t="s">
        <v>805</v>
      </c>
      <c r="J110" s="189">
        <v>10.76824463888889</v>
      </c>
      <c r="K110" s="189">
        <v>6.373183055555555</v>
      </c>
      <c r="L110">
        <v>6.365</v>
      </c>
      <c r="M110">
        <v>1.12</v>
      </c>
      <c r="N110" t="s">
        <v>996</v>
      </c>
      <c r="O110" s="189">
        <v>10.752626805555556</v>
      </c>
      <c r="P110" s="189">
        <v>2.487970277777778</v>
      </c>
      <c r="Q110">
        <v>6.271</v>
      </c>
      <c r="R110">
        <v>0.331</v>
      </c>
    </row>
    <row r="111" spans="1:18" ht="13.5">
      <c r="A111" t="s">
        <v>161</v>
      </c>
      <c r="B111" t="s">
        <v>378</v>
      </c>
      <c r="C111" t="s">
        <v>594</v>
      </c>
      <c r="D111" s="189">
        <v>10.983833194444443</v>
      </c>
      <c r="E111" s="189">
        <v>69.9890475</v>
      </c>
      <c r="F111" t="s">
        <v>1322</v>
      </c>
      <c r="G111">
        <v>6.91</v>
      </c>
      <c r="H111">
        <v>1.7</v>
      </c>
      <c r="I111" t="s">
        <v>806</v>
      </c>
      <c r="J111" s="189">
        <v>11.057606944444446</v>
      </c>
      <c r="K111" s="189">
        <v>70.03074027777778</v>
      </c>
      <c r="L111">
        <v>6.433</v>
      </c>
      <c r="M111">
        <v>1.313</v>
      </c>
      <c r="N111" t="s">
        <v>997</v>
      </c>
      <c r="O111" s="189">
        <v>11.203038694444444</v>
      </c>
      <c r="P111" s="189">
        <v>68.27186972222222</v>
      </c>
      <c r="Q111">
        <v>6.43</v>
      </c>
      <c r="R111">
        <v>0.387</v>
      </c>
    </row>
    <row r="112" spans="1:18" ht="13.5">
      <c r="A112" t="s">
        <v>162</v>
      </c>
      <c r="B112" t="s">
        <v>379</v>
      </c>
      <c r="C112" t="s">
        <v>595</v>
      </c>
      <c r="D112" s="189">
        <v>11.03046513888889</v>
      </c>
      <c r="E112" s="189">
        <v>-2.4845847222222224</v>
      </c>
      <c r="F112" t="s">
        <v>1121</v>
      </c>
      <c r="G112">
        <v>4.738</v>
      </c>
      <c r="H112">
        <v>1.614</v>
      </c>
      <c r="I112" t="s">
        <v>807</v>
      </c>
      <c r="J112" s="189">
        <v>10.82874686111111</v>
      </c>
      <c r="K112" s="189">
        <v>-9.852694999999999</v>
      </c>
      <c r="L112">
        <v>5.851</v>
      </c>
      <c r="M112">
        <v>1.073</v>
      </c>
      <c r="N112" t="s">
        <v>998</v>
      </c>
      <c r="O112" s="189">
        <v>10.85150236111111</v>
      </c>
      <c r="P112" s="189">
        <v>-3.0926672222222225</v>
      </c>
      <c r="Q112">
        <v>5.945</v>
      </c>
      <c r="R112">
        <v>0.541</v>
      </c>
    </row>
    <row r="113" spans="1:18" ht="13.5">
      <c r="A113" t="s">
        <v>163</v>
      </c>
      <c r="B113" t="s">
        <v>380</v>
      </c>
      <c r="C113" t="s">
        <v>596</v>
      </c>
      <c r="D113" s="189">
        <v>11.155300027777779</v>
      </c>
      <c r="E113" s="189">
        <v>36.30937888888889</v>
      </c>
      <c r="F113" t="s">
        <v>1111</v>
      </c>
      <c r="G113">
        <v>5.785</v>
      </c>
      <c r="H113">
        <v>1.498</v>
      </c>
      <c r="I113" t="s">
        <v>808</v>
      </c>
      <c r="J113" s="189">
        <v>11.143265305555555</v>
      </c>
      <c r="K113" s="189">
        <v>36.01083111111111</v>
      </c>
      <c r="L113">
        <v>7.325</v>
      </c>
      <c r="M113">
        <v>0.945</v>
      </c>
      <c r="N113" t="s">
        <v>999</v>
      </c>
      <c r="O113" s="189">
        <v>11.137396777777777</v>
      </c>
      <c r="P113" s="189">
        <v>36.45464611111112</v>
      </c>
      <c r="Q113">
        <v>8.25</v>
      </c>
      <c r="R113">
        <v>0.553</v>
      </c>
    </row>
    <row r="114" spans="1:18" ht="13.5">
      <c r="A114" t="s">
        <v>164</v>
      </c>
      <c r="B114" t="s">
        <v>381</v>
      </c>
      <c r="C114" t="s">
        <v>597</v>
      </c>
      <c r="D114" s="189">
        <v>11.16069463888889</v>
      </c>
      <c r="E114" s="189">
        <v>43.20773611111112</v>
      </c>
      <c r="F114" t="s">
        <v>1112</v>
      </c>
      <c r="G114">
        <v>5.894</v>
      </c>
      <c r="H114">
        <v>1.566</v>
      </c>
      <c r="I114" t="s">
        <v>809</v>
      </c>
      <c r="J114" s="189">
        <v>10.93736625</v>
      </c>
      <c r="K114" s="189">
        <v>42.008155</v>
      </c>
      <c r="L114">
        <v>6.035</v>
      </c>
      <c r="M114">
        <v>1.127</v>
      </c>
      <c r="N114" t="s">
        <v>1000</v>
      </c>
      <c r="O114" s="189">
        <v>11.004084527777778</v>
      </c>
      <c r="P114" s="189">
        <v>45.52627638888889</v>
      </c>
      <c r="Q114">
        <v>5.47</v>
      </c>
      <c r="R114">
        <v>0.439</v>
      </c>
    </row>
    <row r="115" spans="1:18" ht="13.5">
      <c r="A115" t="s">
        <v>165</v>
      </c>
      <c r="B115" t="s">
        <v>382</v>
      </c>
      <c r="C115" t="s">
        <v>598</v>
      </c>
      <c r="D115" s="189">
        <v>11.288623222222222</v>
      </c>
      <c r="E115" s="189">
        <v>-67.82351527777777</v>
      </c>
      <c r="F115" t="s">
        <v>1112</v>
      </c>
      <c r="G115">
        <v>6.055</v>
      </c>
      <c r="H115">
        <v>1.76</v>
      </c>
      <c r="I115" t="s">
        <v>810</v>
      </c>
      <c r="J115" s="189">
        <v>11.53888786111111</v>
      </c>
      <c r="K115" s="189">
        <v>-66.96182361111111</v>
      </c>
      <c r="L115">
        <v>5.89</v>
      </c>
      <c r="M115">
        <v>1.135</v>
      </c>
      <c r="N115" t="s">
        <v>1001</v>
      </c>
      <c r="O115" s="189">
        <v>11.321231694444444</v>
      </c>
      <c r="P115" s="189">
        <v>-64.58249083333332</v>
      </c>
      <c r="Q115">
        <v>5.985</v>
      </c>
      <c r="R115">
        <v>0.625</v>
      </c>
    </row>
    <row r="116" spans="1:18" ht="13.5">
      <c r="A116" t="s">
        <v>166</v>
      </c>
      <c r="B116" t="s">
        <v>383</v>
      </c>
      <c r="C116" t="s">
        <v>599</v>
      </c>
      <c r="D116" s="189">
        <v>11.641002138888888</v>
      </c>
      <c r="E116" s="189">
        <v>8.134298611111111</v>
      </c>
      <c r="F116" t="s">
        <v>1117</v>
      </c>
      <c r="G116">
        <v>5.358</v>
      </c>
      <c r="H116">
        <v>1.577</v>
      </c>
      <c r="I116" t="s">
        <v>811</v>
      </c>
      <c r="J116" s="189">
        <v>11.917537083333333</v>
      </c>
      <c r="K116" s="189">
        <v>8.443943055555556</v>
      </c>
      <c r="L116">
        <v>5.575</v>
      </c>
      <c r="M116">
        <v>0.94</v>
      </c>
      <c r="N116" t="s">
        <v>1002</v>
      </c>
      <c r="O116" s="189">
        <v>11.754733305555556</v>
      </c>
      <c r="P116" s="189">
        <v>8.258119444444445</v>
      </c>
      <c r="Q116">
        <v>4.839</v>
      </c>
      <c r="R116">
        <v>0.637</v>
      </c>
    </row>
    <row r="117" spans="1:18" ht="13.5">
      <c r="A117" t="s">
        <v>167</v>
      </c>
      <c r="B117" t="s">
        <v>384</v>
      </c>
      <c r="C117" t="s">
        <v>600</v>
      </c>
      <c r="D117" s="189">
        <v>11.66398175</v>
      </c>
      <c r="E117" s="189">
        <v>-16.620229444444444</v>
      </c>
      <c r="F117" t="s">
        <v>1156</v>
      </c>
      <c r="G117">
        <v>6.18</v>
      </c>
      <c r="H117">
        <v>1.625</v>
      </c>
      <c r="I117" t="s">
        <v>812</v>
      </c>
      <c r="J117" s="189">
        <v>11.554117527777779</v>
      </c>
      <c r="K117" s="189">
        <v>-16.280380833333332</v>
      </c>
      <c r="L117">
        <v>6.047</v>
      </c>
      <c r="M117">
        <v>0.592</v>
      </c>
      <c r="N117" t="s">
        <v>1003</v>
      </c>
      <c r="O117" s="189">
        <v>11.838778833333334</v>
      </c>
      <c r="P117" s="189">
        <v>-15.863666666666667</v>
      </c>
      <c r="Q117">
        <v>6.13</v>
      </c>
      <c r="R117">
        <v>1.033</v>
      </c>
    </row>
    <row r="118" spans="1:18" ht="13.5">
      <c r="A118" t="s">
        <v>169</v>
      </c>
      <c r="B118" t="s">
        <v>386</v>
      </c>
      <c r="C118" t="s">
        <v>602</v>
      </c>
      <c r="D118" s="189">
        <v>11.75973325</v>
      </c>
      <c r="E118" s="189">
        <v>35.89434722222222</v>
      </c>
      <c r="F118" t="s">
        <v>1114</v>
      </c>
      <c r="G118">
        <v>7.012</v>
      </c>
      <c r="H118">
        <v>1.543</v>
      </c>
      <c r="I118" t="s">
        <v>813</v>
      </c>
      <c r="J118" s="189">
        <v>11.738950083333332</v>
      </c>
      <c r="K118" s="189">
        <v>38.527638055555556</v>
      </c>
      <c r="L118">
        <v>7.859</v>
      </c>
      <c r="M118">
        <v>1.476</v>
      </c>
      <c r="N118" t="s">
        <v>1004</v>
      </c>
      <c r="O118" s="189">
        <v>11.851978777777777</v>
      </c>
      <c r="P118" s="189">
        <v>36.83519444444445</v>
      </c>
      <c r="Q118">
        <v>7.55</v>
      </c>
      <c r="R118">
        <v>0.067</v>
      </c>
    </row>
    <row r="119" spans="1:18" ht="13.5">
      <c r="A119" t="s">
        <v>168</v>
      </c>
      <c r="B119" t="s">
        <v>385</v>
      </c>
      <c r="C119" t="s">
        <v>601</v>
      </c>
      <c r="D119" s="189">
        <v>11.764321944444445</v>
      </c>
      <c r="E119" s="189">
        <v>6.529376388888889</v>
      </c>
      <c r="F119" t="s">
        <v>1127</v>
      </c>
      <c r="G119">
        <v>4.033</v>
      </c>
      <c r="H119">
        <v>1.513</v>
      </c>
      <c r="I119" t="s">
        <v>811</v>
      </c>
      <c r="J119" s="189">
        <v>11.917537083333333</v>
      </c>
      <c r="K119" s="189">
        <v>8.443943055555556</v>
      </c>
      <c r="L119">
        <v>5.575</v>
      </c>
      <c r="M119">
        <v>0.94</v>
      </c>
      <c r="N119" t="s">
        <v>1002</v>
      </c>
      <c r="O119" s="189">
        <v>11.754733305555556</v>
      </c>
      <c r="P119" s="189">
        <v>8.258119444444445</v>
      </c>
      <c r="Q119">
        <v>4.839</v>
      </c>
      <c r="R119">
        <v>0.573</v>
      </c>
    </row>
    <row r="120" spans="1:18" ht="13.5">
      <c r="A120" t="s">
        <v>170</v>
      </c>
      <c r="B120" t="s">
        <v>387</v>
      </c>
      <c r="C120" t="s">
        <v>603</v>
      </c>
      <c r="D120" s="189">
        <v>12.001305</v>
      </c>
      <c r="E120" s="189">
        <v>19.419373333333336</v>
      </c>
      <c r="F120" t="s">
        <v>1131</v>
      </c>
      <c r="G120">
        <v>6.984</v>
      </c>
      <c r="H120">
        <v>1.547</v>
      </c>
      <c r="I120" t="s">
        <v>814</v>
      </c>
      <c r="J120" s="189">
        <v>12.010560333333334</v>
      </c>
      <c r="K120" s="189">
        <v>18.33470583333333</v>
      </c>
      <c r="L120">
        <v>7.877</v>
      </c>
      <c r="M120">
        <v>1.03</v>
      </c>
      <c r="N120" t="s">
        <v>1005</v>
      </c>
      <c r="O120" s="189">
        <v>11.827418527777777</v>
      </c>
      <c r="P120" s="189">
        <v>18.93532</v>
      </c>
      <c r="Q120">
        <v>7.84</v>
      </c>
      <c r="R120">
        <v>0.517</v>
      </c>
    </row>
    <row r="121" spans="1:18" ht="13.5">
      <c r="A121" t="s">
        <v>171</v>
      </c>
      <c r="B121" t="s">
        <v>388</v>
      </c>
      <c r="C121" t="s">
        <v>604</v>
      </c>
      <c r="D121" s="189">
        <v>12.639557138888888</v>
      </c>
      <c r="E121" s="189">
        <v>1.8546622222222222</v>
      </c>
      <c r="F121" t="s">
        <v>1157</v>
      </c>
      <c r="G121">
        <v>5.667</v>
      </c>
      <c r="H121">
        <v>1.592</v>
      </c>
      <c r="I121" t="s">
        <v>815</v>
      </c>
      <c r="J121" s="189">
        <v>12.860247027777778</v>
      </c>
      <c r="K121" s="189">
        <v>3.0567877777777777</v>
      </c>
      <c r="L121">
        <v>6.015</v>
      </c>
      <c r="M121">
        <v>1.29</v>
      </c>
      <c r="N121" t="s">
        <v>1006</v>
      </c>
      <c r="O121" s="189">
        <v>12.634560083333334</v>
      </c>
      <c r="P121" s="189">
        <v>3.2824441666666666</v>
      </c>
      <c r="Q121">
        <v>6.331</v>
      </c>
      <c r="R121">
        <v>0.302</v>
      </c>
    </row>
    <row r="122" spans="1:18" ht="13.5">
      <c r="A122" t="s">
        <v>172</v>
      </c>
      <c r="B122" t="s">
        <v>389</v>
      </c>
      <c r="C122" t="s">
        <v>605</v>
      </c>
      <c r="D122" s="189">
        <v>12.797614472222222</v>
      </c>
      <c r="E122" s="189">
        <v>3.5727161111111108</v>
      </c>
      <c r="F122" t="s">
        <v>1117</v>
      </c>
      <c r="G122">
        <v>6.403</v>
      </c>
      <c r="H122">
        <v>1.599</v>
      </c>
      <c r="I122" t="s">
        <v>815</v>
      </c>
      <c r="J122" s="189">
        <v>12.860247027777778</v>
      </c>
      <c r="K122" s="189">
        <v>3.0567877777777777</v>
      </c>
      <c r="L122">
        <v>6.015</v>
      </c>
      <c r="M122">
        <v>1.29</v>
      </c>
      <c r="N122" t="s">
        <v>1006</v>
      </c>
      <c r="O122" s="189">
        <v>12.634560083333334</v>
      </c>
      <c r="P122" s="189">
        <v>3.2824441666666666</v>
      </c>
      <c r="Q122">
        <v>6.331</v>
      </c>
      <c r="R122">
        <v>0.309</v>
      </c>
    </row>
    <row r="123" spans="1:18" ht="13.5">
      <c r="A123" t="s">
        <v>173</v>
      </c>
      <c r="B123" t="s">
        <v>390</v>
      </c>
      <c r="C123" t="s">
        <v>606</v>
      </c>
      <c r="D123" s="189">
        <v>12.905878694444445</v>
      </c>
      <c r="E123" s="189">
        <v>-9.538994444444445</v>
      </c>
      <c r="F123" t="s">
        <v>1111</v>
      </c>
      <c r="G123">
        <v>4.789</v>
      </c>
      <c r="H123">
        <v>1.595</v>
      </c>
      <c r="I123" t="s">
        <v>816</v>
      </c>
      <c r="J123" s="189">
        <v>13.142351833333333</v>
      </c>
      <c r="K123" s="189">
        <v>-8.984385</v>
      </c>
      <c r="L123">
        <v>5.545</v>
      </c>
      <c r="M123">
        <v>1.18</v>
      </c>
      <c r="N123" t="s">
        <v>1007</v>
      </c>
      <c r="O123" s="189">
        <v>13.153955222222223</v>
      </c>
      <c r="P123" s="189">
        <v>-9.538098055555555</v>
      </c>
      <c r="Q123">
        <v>6.315</v>
      </c>
      <c r="R123">
        <v>0.415</v>
      </c>
    </row>
    <row r="124" spans="1:18" ht="13.5">
      <c r="A124" t="s">
        <v>174</v>
      </c>
      <c r="B124" t="s">
        <v>391</v>
      </c>
      <c r="C124" t="s">
        <v>607</v>
      </c>
      <c r="D124" s="189">
        <v>12.915700361111112</v>
      </c>
      <c r="E124" s="189">
        <v>47.19672194444444</v>
      </c>
      <c r="F124" t="s">
        <v>1114</v>
      </c>
      <c r="G124">
        <v>5.839</v>
      </c>
      <c r="H124">
        <v>1.58</v>
      </c>
      <c r="I124" t="s">
        <v>817</v>
      </c>
      <c r="J124" s="189">
        <v>12.952165333333333</v>
      </c>
      <c r="K124" s="189">
        <v>46.176789166666666</v>
      </c>
      <c r="L124">
        <v>6.116</v>
      </c>
      <c r="M124">
        <v>1.012</v>
      </c>
      <c r="N124" t="s">
        <v>1008</v>
      </c>
      <c r="O124" s="189">
        <v>13.097852027777778</v>
      </c>
      <c r="P124" s="189">
        <v>45.26854972222222</v>
      </c>
      <c r="Q124">
        <v>5.63</v>
      </c>
      <c r="R124">
        <v>0.568</v>
      </c>
    </row>
    <row r="125" spans="1:18" ht="13.5">
      <c r="A125" t="s">
        <v>175</v>
      </c>
      <c r="B125" t="s">
        <v>392</v>
      </c>
      <c r="C125" t="s">
        <v>608</v>
      </c>
      <c r="D125" s="189">
        <v>12.982067305555555</v>
      </c>
      <c r="E125" s="189">
        <v>17.409445555555553</v>
      </c>
      <c r="F125" t="s">
        <v>1158</v>
      </c>
      <c r="G125">
        <v>4.767</v>
      </c>
      <c r="H125">
        <v>1.568</v>
      </c>
      <c r="I125" t="s">
        <v>818</v>
      </c>
      <c r="J125" s="189">
        <v>13.019337416666668</v>
      </c>
      <c r="K125" s="189">
        <v>17.123146666666667</v>
      </c>
      <c r="L125">
        <v>5.945</v>
      </c>
      <c r="M125">
        <v>0.966</v>
      </c>
      <c r="N125" t="s">
        <v>1009</v>
      </c>
      <c r="O125" s="189">
        <v>13.163290972222223</v>
      </c>
      <c r="P125" s="189">
        <v>16.848611388888887</v>
      </c>
      <c r="Q125">
        <v>5.894</v>
      </c>
      <c r="R125">
        <v>0.602</v>
      </c>
    </row>
    <row r="126" spans="1:18" ht="13.5">
      <c r="A126" t="s">
        <v>176</v>
      </c>
      <c r="B126" t="s">
        <v>393</v>
      </c>
      <c r="C126" t="s">
        <v>609</v>
      </c>
      <c r="D126" s="189">
        <v>13.106278611111112</v>
      </c>
      <c r="E126" s="189">
        <v>22.616186944444447</v>
      </c>
      <c r="F126" t="s">
        <v>1159</v>
      </c>
      <c r="G126">
        <v>5.606</v>
      </c>
      <c r="H126">
        <v>1.587</v>
      </c>
      <c r="I126" t="s">
        <v>819</v>
      </c>
      <c r="J126" s="189">
        <v>13.105899972222222</v>
      </c>
      <c r="K126" s="189">
        <v>21.15339694444444</v>
      </c>
      <c r="L126">
        <v>6.018</v>
      </c>
      <c r="M126">
        <v>0.376</v>
      </c>
      <c r="N126" t="s">
        <v>1010</v>
      </c>
      <c r="O126" s="189">
        <v>13.202335916666666</v>
      </c>
      <c r="P126" s="189">
        <v>24.2580275</v>
      </c>
      <c r="Q126">
        <v>6.313</v>
      </c>
      <c r="R126">
        <v>1.211</v>
      </c>
    </row>
    <row r="127" spans="1:18" ht="13.5">
      <c r="A127" t="s">
        <v>1106</v>
      </c>
      <c r="B127" t="s">
        <v>1107</v>
      </c>
      <c r="C127" t="s">
        <v>1108</v>
      </c>
      <c r="D127" s="189">
        <v>13.166466666666667</v>
      </c>
      <c r="E127" s="189">
        <v>17.529444444444444</v>
      </c>
      <c r="F127" t="s">
        <v>1160</v>
      </c>
      <c r="G127">
        <v>4.318</v>
      </c>
      <c r="H127">
        <v>0.454</v>
      </c>
      <c r="I127" t="s">
        <v>819</v>
      </c>
      <c r="J127" s="189">
        <v>13.1059</v>
      </c>
      <c r="K127" s="189">
        <v>21.15339722222222</v>
      </c>
      <c r="L127">
        <v>5.99</v>
      </c>
      <c r="M127">
        <v>0.39</v>
      </c>
      <c r="N127" t="s">
        <v>1195</v>
      </c>
      <c r="O127" s="189">
        <v>13.181209166666665</v>
      </c>
      <c r="P127" s="189">
        <v>21.233744444444444</v>
      </c>
      <c r="Q127">
        <v>6.82</v>
      </c>
      <c r="R127">
        <v>0.064</v>
      </c>
    </row>
    <row r="128" spans="1:18" ht="13.5">
      <c r="A128" t="s">
        <v>177</v>
      </c>
      <c r="B128" t="s">
        <v>394</v>
      </c>
      <c r="C128" t="s">
        <v>610</v>
      </c>
      <c r="D128" s="189">
        <v>13.234551388888889</v>
      </c>
      <c r="E128" s="189">
        <v>-2.806985833333333</v>
      </c>
      <c r="F128" t="s">
        <v>1161</v>
      </c>
      <c r="G128">
        <v>7.02</v>
      </c>
      <c r="H128">
        <v>1.55</v>
      </c>
      <c r="I128" t="s">
        <v>820</v>
      </c>
      <c r="J128" s="189">
        <v>13.212162777777777</v>
      </c>
      <c r="K128" s="189">
        <v>-2.2650397222222223</v>
      </c>
      <c r="L128">
        <v>7.56</v>
      </c>
      <c r="M128">
        <v>0.922</v>
      </c>
      <c r="N128" t="s">
        <v>1011</v>
      </c>
      <c r="O128" s="189">
        <v>13.29162588888889</v>
      </c>
      <c r="P128" s="189">
        <v>0.6760647222222221</v>
      </c>
      <c r="Q128">
        <v>6.365</v>
      </c>
      <c r="R128">
        <v>0.628</v>
      </c>
    </row>
    <row r="129" spans="1:18" ht="13.5">
      <c r="A129" t="s">
        <v>178</v>
      </c>
      <c r="B129" t="s">
        <v>395</v>
      </c>
      <c r="C129" t="s">
        <v>611</v>
      </c>
      <c r="D129" s="189">
        <v>13.273313861111111</v>
      </c>
      <c r="E129" s="189">
        <v>6.5046175</v>
      </c>
      <c r="F129" t="s">
        <v>1124</v>
      </c>
      <c r="G129">
        <v>7.15</v>
      </c>
      <c r="H129">
        <v>1.6</v>
      </c>
      <c r="I129" t="s">
        <v>821</v>
      </c>
      <c r="J129" s="189">
        <v>13.332494027777777</v>
      </c>
      <c r="K129" s="189">
        <v>8.487131388888889</v>
      </c>
      <c r="L129">
        <v>7.08</v>
      </c>
      <c r="M129">
        <v>1.13</v>
      </c>
      <c r="N129" t="s">
        <v>1012</v>
      </c>
      <c r="O129" s="189">
        <v>13.147506444444444</v>
      </c>
      <c r="P129" s="189">
        <v>5.207241111111111</v>
      </c>
      <c r="Q129">
        <v>6.798</v>
      </c>
      <c r="R129">
        <v>0.47</v>
      </c>
    </row>
    <row r="130" spans="1:18" ht="13.5">
      <c r="A130" t="s">
        <v>179</v>
      </c>
      <c r="B130" t="s">
        <v>396</v>
      </c>
      <c r="C130" t="s">
        <v>612</v>
      </c>
      <c r="D130" s="189">
        <v>13.398313805555555</v>
      </c>
      <c r="E130" s="189">
        <v>37.033920555555554</v>
      </c>
      <c r="F130" t="s">
        <v>1117</v>
      </c>
      <c r="G130">
        <v>6.128</v>
      </c>
      <c r="H130">
        <v>1.651</v>
      </c>
      <c r="I130" t="s">
        <v>822</v>
      </c>
      <c r="J130" s="189">
        <v>13.307702222222224</v>
      </c>
      <c r="K130" s="189">
        <v>34.09830361111111</v>
      </c>
      <c r="L130">
        <v>5.8</v>
      </c>
      <c r="M130">
        <v>1.356</v>
      </c>
      <c r="N130" t="s">
        <v>1013</v>
      </c>
      <c r="O130" s="189">
        <v>13.31784761111111</v>
      </c>
      <c r="P130" s="189">
        <v>35.12797805555556</v>
      </c>
      <c r="Q130">
        <v>6.02</v>
      </c>
      <c r="R130">
        <v>0.295</v>
      </c>
    </row>
    <row r="131" spans="1:18" ht="13.5">
      <c r="A131" t="s">
        <v>180</v>
      </c>
      <c r="B131" t="s">
        <v>397</v>
      </c>
      <c r="C131" t="s">
        <v>613</v>
      </c>
      <c r="D131" s="189">
        <v>13.597793861111112</v>
      </c>
      <c r="E131" s="189">
        <v>8.292781666666666</v>
      </c>
      <c r="F131" t="s">
        <v>1131</v>
      </c>
      <c r="G131">
        <v>7.1</v>
      </c>
      <c r="H131">
        <v>1.62</v>
      </c>
      <c r="I131" t="s">
        <v>823</v>
      </c>
      <c r="J131" s="189">
        <v>13.703544527777778</v>
      </c>
      <c r="K131" s="189">
        <v>8.388394166666666</v>
      </c>
      <c r="L131">
        <v>6.159</v>
      </c>
      <c r="M131">
        <v>0.41</v>
      </c>
      <c r="N131" t="s">
        <v>1014</v>
      </c>
      <c r="O131" s="189">
        <v>13.500022472222222</v>
      </c>
      <c r="P131" s="189">
        <v>7.1788533333333335</v>
      </c>
      <c r="Q131">
        <v>6.165</v>
      </c>
      <c r="R131">
        <v>1.21</v>
      </c>
    </row>
    <row r="132" spans="1:18" ht="13.5">
      <c r="A132" t="s">
        <v>181</v>
      </c>
      <c r="B132" t="s">
        <v>398</v>
      </c>
      <c r="C132" t="s">
        <v>614</v>
      </c>
      <c r="D132" s="189">
        <v>14.219382027777778</v>
      </c>
      <c r="E132" s="189">
        <v>-13.859934444444445</v>
      </c>
      <c r="F132" t="s">
        <v>1111</v>
      </c>
      <c r="G132">
        <v>6.886</v>
      </c>
      <c r="H132">
        <v>1.574</v>
      </c>
      <c r="I132" t="s">
        <v>824</v>
      </c>
      <c r="J132" s="189">
        <v>14.22860738888889</v>
      </c>
      <c r="K132" s="189">
        <v>-11.838386388888889</v>
      </c>
      <c r="L132">
        <v>6.983</v>
      </c>
      <c r="M132">
        <v>1.016</v>
      </c>
      <c r="N132" t="s">
        <v>1015</v>
      </c>
      <c r="O132" s="189">
        <v>14.196158583333334</v>
      </c>
      <c r="P132" s="189">
        <v>-12.61176611111111</v>
      </c>
      <c r="Q132">
        <v>7.928</v>
      </c>
      <c r="R132">
        <v>0.558</v>
      </c>
    </row>
    <row r="133" spans="1:18" ht="13.5">
      <c r="A133" t="s">
        <v>182</v>
      </c>
      <c r="B133" t="s">
        <v>399</v>
      </c>
      <c r="C133" t="s">
        <v>615</v>
      </c>
      <c r="D133" s="189">
        <v>14.248060749999999</v>
      </c>
      <c r="E133" s="189">
        <v>3.3358777777777777</v>
      </c>
      <c r="F133" t="s">
        <v>1117</v>
      </c>
      <c r="G133">
        <v>6.442</v>
      </c>
      <c r="H133">
        <v>1.605</v>
      </c>
      <c r="I133" t="s">
        <v>825</v>
      </c>
      <c r="J133" s="189">
        <v>14.077063083333334</v>
      </c>
      <c r="K133" s="189">
        <v>2.297531388888889</v>
      </c>
      <c r="L133">
        <v>6.275</v>
      </c>
      <c r="M133">
        <v>1.02</v>
      </c>
      <c r="N133" t="s">
        <v>1016</v>
      </c>
      <c r="O133" s="189">
        <v>14.19200088888889</v>
      </c>
      <c r="P133" s="189">
        <v>1.3623986111111113</v>
      </c>
      <c r="Q133">
        <v>6.429</v>
      </c>
      <c r="R133">
        <v>0.585</v>
      </c>
    </row>
    <row r="134" spans="1:18" ht="13.5">
      <c r="A134" t="s">
        <v>183</v>
      </c>
      <c r="B134" t="s">
        <v>400</v>
      </c>
      <c r="C134" t="s">
        <v>616</v>
      </c>
      <c r="D134" s="189">
        <v>14.291236638888888</v>
      </c>
      <c r="E134" s="189">
        <v>15.263379722222222</v>
      </c>
      <c r="F134" t="s">
        <v>1111</v>
      </c>
      <c r="G134">
        <v>5.814</v>
      </c>
      <c r="H134">
        <v>1.678</v>
      </c>
      <c r="I134" t="s">
        <v>826</v>
      </c>
      <c r="J134" s="189">
        <v>13.977752027777777</v>
      </c>
      <c r="K134" s="189">
        <v>14.649274722222222</v>
      </c>
      <c r="L134">
        <v>6.008</v>
      </c>
      <c r="M134">
        <v>1.425</v>
      </c>
      <c r="N134" t="s">
        <v>1017</v>
      </c>
      <c r="O134" s="189">
        <v>13.93055375</v>
      </c>
      <c r="P134" s="189">
        <v>14.056503055555556</v>
      </c>
      <c r="Q134">
        <v>6.17</v>
      </c>
      <c r="R134">
        <v>0.253</v>
      </c>
    </row>
    <row r="135" spans="1:18" ht="13.5">
      <c r="A135" t="s">
        <v>184</v>
      </c>
      <c r="B135" t="s">
        <v>401</v>
      </c>
      <c r="C135" t="s">
        <v>617</v>
      </c>
      <c r="D135" s="189">
        <v>14.370555916666667</v>
      </c>
      <c r="E135" s="189">
        <v>29.36992</v>
      </c>
      <c r="F135" t="s">
        <v>1162</v>
      </c>
      <c r="G135">
        <v>6.6</v>
      </c>
      <c r="H135">
        <v>1.6</v>
      </c>
      <c r="I135" t="s">
        <v>827</v>
      </c>
      <c r="J135" s="189">
        <v>14.400550277777779</v>
      </c>
      <c r="K135" s="189">
        <v>27.41317722222222</v>
      </c>
      <c r="L135">
        <v>6.38</v>
      </c>
      <c r="M135">
        <v>1.61</v>
      </c>
      <c r="N135" t="s">
        <v>1018</v>
      </c>
      <c r="O135" s="189">
        <v>14.3093795</v>
      </c>
      <c r="P135" s="189">
        <v>28.439379444444445</v>
      </c>
      <c r="Q135">
        <v>7.645</v>
      </c>
      <c r="R135">
        <v>0.01</v>
      </c>
    </row>
    <row r="136" spans="1:18" ht="13.5">
      <c r="A136" t="s">
        <v>1287</v>
      </c>
      <c r="B136" t="s">
        <v>1288</v>
      </c>
      <c r="C136" t="s">
        <v>1289</v>
      </c>
      <c r="D136" s="189">
        <v>14.458749999999998</v>
      </c>
      <c r="E136" s="189">
        <v>75.69611111111111</v>
      </c>
      <c r="F136" t="s">
        <v>1139</v>
      </c>
      <c r="G136">
        <v>4.275</v>
      </c>
      <c r="H136">
        <v>1.434</v>
      </c>
      <c r="I136" t="s">
        <v>1323</v>
      </c>
      <c r="J136" s="189">
        <v>15.284972222222223</v>
      </c>
      <c r="K136" s="189">
        <v>71.82388888888889</v>
      </c>
      <c r="L136">
        <v>5.013</v>
      </c>
      <c r="M136">
        <v>1.369</v>
      </c>
      <c r="N136" t="s">
        <v>1351</v>
      </c>
      <c r="O136" s="189">
        <v>15.746666666666666</v>
      </c>
      <c r="P136" s="189">
        <v>77.94916666666667</v>
      </c>
      <c r="Q136">
        <v>4.314</v>
      </c>
      <c r="R136">
        <v>0.065</v>
      </c>
    </row>
    <row r="137" spans="1:18" ht="13.5">
      <c r="A137" t="s">
        <v>185</v>
      </c>
      <c r="B137" t="s">
        <v>402</v>
      </c>
      <c r="C137" t="s">
        <v>618</v>
      </c>
      <c r="D137" s="189">
        <v>14.723712</v>
      </c>
      <c r="E137" s="189">
        <v>26.527850277777777</v>
      </c>
      <c r="F137" t="s">
        <v>1111</v>
      </c>
      <c r="G137">
        <v>4.808</v>
      </c>
      <c r="H137">
        <v>1.662</v>
      </c>
      <c r="I137" t="s">
        <v>828</v>
      </c>
      <c r="J137" s="189">
        <v>14.601909166666667</v>
      </c>
      <c r="K137" s="189">
        <v>23.250358333333335</v>
      </c>
      <c r="L137">
        <v>6.374</v>
      </c>
      <c r="M137">
        <v>1.054</v>
      </c>
      <c r="N137" t="s">
        <v>1019</v>
      </c>
      <c r="O137" s="189">
        <v>14.806484583333335</v>
      </c>
      <c r="P137" s="189">
        <v>24.36687611111111</v>
      </c>
      <c r="Q137">
        <v>6.155</v>
      </c>
      <c r="R137">
        <v>0.608</v>
      </c>
    </row>
    <row r="138" spans="1:18" ht="13.5">
      <c r="A138" t="s">
        <v>186</v>
      </c>
      <c r="B138" t="s">
        <v>403</v>
      </c>
      <c r="C138" t="s">
        <v>619</v>
      </c>
      <c r="D138" s="189">
        <v>14.95972422222222</v>
      </c>
      <c r="E138" s="189">
        <v>65.93246027777778</v>
      </c>
      <c r="F138" t="s">
        <v>1324</v>
      </c>
      <c r="G138">
        <v>4.594</v>
      </c>
      <c r="H138">
        <v>1.591</v>
      </c>
      <c r="I138" t="s">
        <v>829</v>
      </c>
      <c r="J138" s="189">
        <v>15.243983027777777</v>
      </c>
      <c r="K138" s="189">
        <v>67.3467225</v>
      </c>
      <c r="L138">
        <v>5.137</v>
      </c>
      <c r="M138">
        <v>0.533</v>
      </c>
      <c r="N138" t="s">
        <v>1020</v>
      </c>
      <c r="O138" s="189">
        <v>15.284969055555555</v>
      </c>
      <c r="P138" s="189">
        <v>71.82390111111111</v>
      </c>
      <c r="Q138">
        <v>5.015</v>
      </c>
      <c r="R138">
        <v>1.058</v>
      </c>
    </row>
    <row r="139" spans="1:18" ht="13.5">
      <c r="A139" t="s">
        <v>187</v>
      </c>
      <c r="B139" t="s">
        <v>404</v>
      </c>
      <c r="C139" t="s">
        <v>620</v>
      </c>
      <c r="D139" s="189">
        <v>15.607829805555555</v>
      </c>
      <c r="E139" s="189">
        <v>15.101424444444444</v>
      </c>
      <c r="F139" t="s">
        <v>1163</v>
      </c>
      <c r="G139">
        <v>6.523</v>
      </c>
      <c r="H139">
        <v>1.456</v>
      </c>
      <c r="I139" t="s">
        <v>830</v>
      </c>
      <c r="J139" s="189">
        <v>15.683083555555555</v>
      </c>
      <c r="K139" s="189">
        <v>16.024588055555554</v>
      </c>
      <c r="L139">
        <v>6.008</v>
      </c>
      <c r="M139">
        <v>0.902</v>
      </c>
      <c r="N139" t="s">
        <v>1021</v>
      </c>
      <c r="O139" s="189">
        <v>15.592563944444445</v>
      </c>
      <c r="P139" s="189">
        <v>17.655555277777776</v>
      </c>
      <c r="Q139">
        <v>6.121</v>
      </c>
      <c r="R139">
        <v>0.554</v>
      </c>
    </row>
    <row r="140" spans="1:18" ht="13.5">
      <c r="A140" t="s">
        <v>188</v>
      </c>
      <c r="B140" t="s">
        <v>405</v>
      </c>
      <c r="C140" t="s">
        <v>621</v>
      </c>
      <c r="D140" s="189">
        <v>15.846284666666667</v>
      </c>
      <c r="E140" s="189">
        <v>48.48301555555556</v>
      </c>
      <c r="F140" t="s">
        <v>1164</v>
      </c>
      <c r="G140">
        <v>7.715</v>
      </c>
      <c r="H140">
        <v>1.409</v>
      </c>
      <c r="I140" t="s">
        <v>831</v>
      </c>
      <c r="J140" s="189">
        <v>15.781614805555556</v>
      </c>
      <c r="K140" s="189">
        <v>46.98626166666667</v>
      </c>
      <c r="L140">
        <v>7.21</v>
      </c>
      <c r="M140">
        <v>0.77</v>
      </c>
      <c r="N140" t="s">
        <v>1022</v>
      </c>
      <c r="O140" s="189">
        <v>15.781026666666667</v>
      </c>
      <c r="P140" s="189">
        <v>46.296790277777774</v>
      </c>
      <c r="Q140">
        <v>7.839</v>
      </c>
      <c r="R140">
        <v>0.639</v>
      </c>
    </row>
    <row r="141" spans="1:18" ht="13.5">
      <c r="A141" t="s">
        <v>189</v>
      </c>
      <c r="B141" t="s">
        <v>406</v>
      </c>
      <c r="C141" t="s">
        <v>622</v>
      </c>
      <c r="D141" s="189">
        <v>16.278688416666665</v>
      </c>
      <c r="E141" s="189">
        <v>-53.81110916666666</v>
      </c>
      <c r="F141" t="s">
        <v>1112</v>
      </c>
      <c r="G141">
        <v>5.46</v>
      </c>
      <c r="H141">
        <v>1.717</v>
      </c>
      <c r="I141" t="s">
        <v>832</v>
      </c>
      <c r="J141" s="189">
        <v>16.340347388888887</v>
      </c>
      <c r="K141" s="189">
        <v>-55.13970611111111</v>
      </c>
      <c r="L141">
        <v>5.77</v>
      </c>
      <c r="M141">
        <v>0.97</v>
      </c>
      <c r="N141" t="s">
        <v>1023</v>
      </c>
      <c r="O141" s="189">
        <v>16.224646916666664</v>
      </c>
      <c r="P141" s="189">
        <v>-54.6304675</v>
      </c>
      <c r="Q141">
        <v>4.947</v>
      </c>
      <c r="R141">
        <v>0.747</v>
      </c>
    </row>
    <row r="142" spans="1:18" ht="13.5">
      <c r="A142" t="s">
        <v>190</v>
      </c>
      <c r="B142" t="s">
        <v>407</v>
      </c>
      <c r="C142" t="s">
        <v>623</v>
      </c>
      <c r="D142" s="189">
        <v>16.28759625</v>
      </c>
      <c r="E142" s="189">
        <v>59.755023333333334</v>
      </c>
      <c r="F142" t="s">
        <v>1117</v>
      </c>
      <c r="G142">
        <v>5.442</v>
      </c>
      <c r="H142">
        <v>1.598</v>
      </c>
      <c r="I142" t="s">
        <v>833</v>
      </c>
      <c r="J142" s="189">
        <v>16.39643152777778</v>
      </c>
      <c r="K142" s="189">
        <v>61.696461388888885</v>
      </c>
      <c r="L142">
        <v>5.674</v>
      </c>
      <c r="M142">
        <v>0.956</v>
      </c>
      <c r="N142" t="s">
        <v>1024</v>
      </c>
      <c r="O142" s="189">
        <v>16.522243805555554</v>
      </c>
      <c r="P142" s="189">
        <v>57.839040833333335</v>
      </c>
      <c r="Q142">
        <v>7.72</v>
      </c>
      <c r="R142">
        <v>0.642</v>
      </c>
    </row>
    <row r="143" spans="1:18" ht="13.5">
      <c r="A143" t="s">
        <v>191</v>
      </c>
      <c r="B143" t="s">
        <v>408</v>
      </c>
      <c r="C143" t="s">
        <v>624</v>
      </c>
      <c r="D143" s="189">
        <v>16.37261813888889</v>
      </c>
      <c r="E143" s="189">
        <v>33.799051666666664</v>
      </c>
      <c r="F143" t="s">
        <v>1112</v>
      </c>
      <c r="G143">
        <v>5.2</v>
      </c>
      <c r="H143">
        <v>1.6</v>
      </c>
      <c r="I143" t="s">
        <v>834</v>
      </c>
      <c r="J143" s="189">
        <v>16.374782972222224</v>
      </c>
      <c r="K143" s="189">
        <v>33.70347833333334</v>
      </c>
      <c r="L143">
        <v>5.4</v>
      </c>
      <c r="M143">
        <v>1.525</v>
      </c>
      <c r="N143" t="s">
        <v>1025</v>
      </c>
      <c r="O143" s="189">
        <v>16.194333194444443</v>
      </c>
      <c r="P143" s="189">
        <v>33.34276416666667</v>
      </c>
      <c r="Q143">
        <v>6.292</v>
      </c>
      <c r="R143">
        <v>0.075</v>
      </c>
    </row>
    <row r="144" spans="1:18" ht="13.5">
      <c r="A144" t="s">
        <v>192</v>
      </c>
      <c r="B144" t="s">
        <v>409</v>
      </c>
      <c r="C144" t="s">
        <v>625</v>
      </c>
      <c r="D144" s="189">
        <v>16.462072222222222</v>
      </c>
      <c r="E144" s="189">
        <v>-7.597555555555555</v>
      </c>
      <c r="F144" t="s">
        <v>1111</v>
      </c>
      <c r="G144">
        <v>5.27</v>
      </c>
      <c r="H144">
        <v>1.72</v>
      </c>
      <c r="I144" t="s">
        <v>835</v>
      </c>
      <c r="J144" s="189">
        <v>16.463383333333333</v>
      </c>
      <c r="K144" s="189">
        <v>-8.371722222222223</v>
      </c>
      <c r="L144">
        <v>4.632</v>
      </c>
      <c r="M144">
        <v>0.174</v>
      </c>
      <c r="N144" t="s">
        <v>1026</v>
      </c>
      <c r="O144" s="189">
        <v>16.260369444444443</v>
      </c>
      <c r="P144" s="189">
        <v>-8.369972222222223</v>
      </c>
      <c r="Q144">
        <v>5.505</v>
      </c>
      <c r="R144">
        <v>1.546</v>
      </c>
    </row>
    <row r="145" spans="1:18" ht="13.5">
      <c r="A145" t="s">
        <v>193</v>
      </c>
      <c r="B145" t="s">
        <v>410</v>
      </c>
      <c r="C145" t="s">
        <v>626</v>
      </c>
      <c r="D145" s="189">
        <v>16.49012802777778</v>
      </c>
      <c r="E145" s="189">
        <v>-26.432002500000003</v>
      </c>
      <c r="F145" t="s">
        <v>1325</v>
      </c>
      <c r="G145">
        <v>0.983</v>
      </c>
      <c r="H145">
        <v>1.826</v>
      </c>
      <c r="I145" t="s">
        <v>836</v>
      </c>
      <c r="J145" s="189">
        <v>16.523014083333333</v>
      </c>
      <c r="K145" s="189">
        <v>-26.537643055555556</v>
      </c>
      <c r="L145">
        <v>6.1</v>
      </c>
      <c r="M145">
        <v>1.08</v>
      </c>
      <c r="N145" t="s">
        <v>1027</v>
      </c>
      <c r="O145" s="189">
        <v>16.78092883333333</v>
      </c>
      <c r="P145" s="189">
        <v>-25.52857</v>
      </c>
      <c r="Q145">
        <v>6.71</v>
      </c>
      <c r="R145">
        <v>0.746</v>
      </c>
    </row>
    <row r="146" spans="1:18" ht="13.5">
      <c r="A146" t="s">
        <v>194</v>
      </c>
      <c r="B146" t="s">
        <v>411</v>
      </c>
      <c r="C146" t="s">
        <v>627</v>
      </c>
      <c r="D146" s="189">
        <v>16.64579036111111</v>
      </c>
      <c r="E146" s="189">
        <v>48.9283425</v>
      </c>
      <c r="F146" t="s">
        <v>1326</v>
      </c>
      <c r="G146">
        <v>4.9</v>
      </c>
      <c r="H146">
        <v>1.559</v>
      </c>
      <c r="I146" t="s">
        <v>837</v>
      </c>
      <c r="J146" s="189">
        <v>16.319781527777778</v>
      </c>
      <c r="K146" s="189">
        <v>49.03815916666667</v>
      </c>
      <c r="L146">
        <v>5.91</v>
      </c>
      <c r="M146">
        <v>1.369</v>
      </c>
      <c r="N146" t="s">
        <v>1028</v>
      </c>
      <c r="O146" s="189">
        <v>16.60311177777778</v>
      </c>
      <c r="P146" s="189">
        <v>46.61333305555556</v>
      </c>
      <c r="Q146">
        <v>5.83</v>
      </c>
      <c r="R146">
        <v>0.19</v>
      </c>
    </row>
    <row r="147" spans="1:18" ht="13.5">
      <c r="A147" t="s">
        <v>195</v>
      </c>
      <c r="B147" t="s">
        <v>412</v>
      </c>
      <c r="C147" t="s">
        <v>628</v>
      </c>
      <c r="D147" s="189">
        <v>16.67847825</v>
      </c>
      <c r="E147" s="189">
        <v>72.6716588888889</v>
      </c>
      <c r="F147" t="s">
        <v>1165</v>
      </c>
      <c r="G147">
        <v>7.006</v>
      </c>
      <c r="H147">
        <v>1.58</v>
      </c>
      <c r="I147" t="s">
        <v>838</v>
      </c>
      <c r="J147" s="189">
        <v>16.52450783333333</v>
      </c>
      <c r="K147" s="189">
        <v>72.61233833333333</v>
      </c>
      <c r="L147">
        <v>6.298</v>
      </c>
      <c r="M147">
        <v>1.316</v>
      </c>
      <c r="N147" t="s">
        <v>1029</v>
      </c>
      <c r="O147" s="189">
        <v>16.710715916666665</v>
      </c>
      <c r="P147" s="189">
        <v>68.10216916666666</v>
      </c>
      <c r="Q147">
        <v>7.559</v>
      </c>
      <c r="R147">
        <v>0.264</v>
      </c>
    </row>
    <row r="148" spans="1:18" ht="13.5">
      <c r="A148" t="s">
        <v>278</v>
      </c>
      <c r="B148" t="s">
        <v>495</v>
      </c>
      <c r="C148" t="s">
        <v>711</v>
      </c>
      <c r="D148" s="189">
        <v>17.06577777777778</v>
      </c>
      <c r="E148" s="189">
        <v>-37.844166666666666</v>
      </c>
      <c r="F148" t="s">
        <v>1327</v>
      </c>
      <c r="G148">
        <v>6.547</v>
      </c>
      <c r="H148">
        <v>0.264</v>
      </c>
      <c r="I148" t="s">
        <v>907</v>
      </c>
      <c r="J148" s="189">
        <v>17.050094444444444</v>
      </c>
      <c r="K148" s="189">
        <v>-37.71965277777778</v>
      </c>
      <c r="L148">
        <v>7.43</v>
      </c>
      <c r="M148">
        <v>0.02</v>
      </c>
      <c r="N148" t="s">
        <v>1101</v>
      </c>
      <c r="O148" s="189">
        <v>17.105608333333336</v>
      </c>
      <c r="P148" s="189">
        <v>-37.227583333333335</v>
      </c>
      <c r="Q148">
        <v>5.98</v>
      </c>
      <c r="R148">
        <v>0.244</v>
      </c>
    </row>
    <row r="149" spans="1:18" ht="13.5">
      <c r="A149" t="s">
        <v>196</v>
      </c>
      <c r="B149" t="s">
        <v>413</v>
      </c>
      <c r="C149" t="s">
        <v>629</v>
      </c>
      <c r="D149" s="189">
        <v>17.274833166666667</v>
      </c>
      <c r="E149" s="189">
        <v>60.67061444444444</v>
      </c>
      <c r="F149" t="s">
        <v>1328</v>
      </c>
      <c r="G149">
        <v>6.319</v>
      </c>
      <c r="H149">
        <v>1.094</v>
      </c>
      <c r="I149" t="s">
        <v>839</v>
      </c>
      <c r="J149" s="189">
        <v>17.13542613888889</v>
      </c>
      <c r="K149" s="189">
        <v>61.159619444444445</v>
      </c>
      <c r="L149">
        <v>6.72</v>
      </c>
      <c r="M149">
        <v>0.5</v>
      </c>
      <c r="N149" t="s">
        <v>1030</v>
      </c>
      <c r="O149" s="189">
        <v>17.021367777777776</v>
      </c>
      <c r="P149" s="189">
        <v>60.64875416666666</v>
      </c>
      <c r="Q149">
        <v>6.128</v>
      </c>
      <c r="R149">
        <v>0.594</v>
      </c>
    </row>
    <row r="150" spans="1:18" ht="13.5">
      <c r="A150" t="s">
        <v>197</v>
      </c>
      <c r="B150" t="s">
        <v>414</v>
      </c>
      <c r="C150" t="s">
        <v>630</v>
      </c>
      <c r="D150" s="189">
        <v>17.3392005</v>
      </c>
      <c r="E150" s="189">
        <v>46.24078</v>
      </c>
      <c r="F150" t="s">
        <v>1121</v>
      </c>
      <c r="G150">
        <v>5.58</v>
      </c>
      <c r="H150">
        <v>1.57</v>
      </c>
      <c r="I150" t="s">
        <v>840</v>
      </c>
      <c r="J150" s="189">
        <v>17.342715694444443</v>
      </c>
      <c r="K150" s="189">
        <v>48.18879083333333</v>
      </c>
      <c r="L150">
        <v>6.411</v>
      </c>
      <c r="M150">
        <v>0.407</v>
      </c>
      <c r="N150" t="s">
        <v>1031</v>
      </c>
      <c r="O150" s="189">
        <v>17.445622916666668</v>
      </c>
      <c r="P150" s="189">
        <v>48.260064722222225</v>
      </c>
      <c r="Q150">
        <v>5.846</v>
      </c>
      <c r="R150">
        <v>1.163</v>
      </c>
    </row>
    <row r="151" spans="1:18" ht="13.5">
      <c r="A151" t="s">
        <v>198</v>
      </c>
      <c r="B151" t="s">
        <v>415</v>
      </c>
      <c r="C151" t="s">
        <v>631</v>
      </c>
      <c r="D151" s="189">
        <v>17.561883277777778</v>
      </c>
      <c r="E151" s="189">
        <v>14.841598333333334</v>
      </c>
      <c r="F151" t="s">
        <v>1117</v>
      </c>
      <c r="G151">
        <v>6.45</v>
      </c>
      <c r="H151">
        <v>1.6</v>
      </c>
      <c r="I151" t="s">
        <v>841</v>
      </c>
      <c r="J151" s="189">
        <v>17.56094125</v>
      </c>
      <c r="K151" s="189">
        <v>16.317553333333333</v>
      </c>
      <c r="L151">
        <v>5.69</v>
      </c>
      <c r="M151">
        <v>1.01</v>
      </c>
      <c r="N151" t="s">
        <v>1032</v>
      </c>
      <c r="O151" s="189">
        <v>17.64940425</v>
      </c>
      <c r="P151" s="189">
        <v>13.329261666666666</v>
      </c>
      <c r="Q151">
        <v>6.116</v>
      </c>
      <c r="R151">
        <v>0.59</v>
      </c>
    </row>
    <row r="152" spans="1:18" ht="13.5">
      <c r="A152" t="s">
        <v>199</v>
      </c>
      <c r="B152" t="s">
        <v>416</v>
      </c>
      <c r="C152" t="s">
        <v>632</v>
      </c>
      <c r="D152" s="189">
        <v>17.61628752777778</v>
      </c>
      <c r="E152" s="189">
        <v>-32.12860805555555</v>
      </c>
      <c r="F152" t="s">
        <v>1129</v>
      </c>
      <c r="G152">
        <v>7.027</v>
      </c>
      <c r="H152">
        <v>0.121</v>
      </c>
      <c r="I152" t="s">
        <v>842</v>
      </c>
      <c r="J152" s="189">
        <v>17.551671305555555</v>
      </c>
      <c r="K152" s="189">
        <v>-33.057787499999996</v>
      </c>
      <c r="L152">
        <v>7.26</v>
      </c>
      <c r="M152">
        <v>0.17</v>
      </c>
      <c r="N152" t="s">
        <v>1033</v>
      </c>
      <c r="O152" s="189">
        <v>17.501566333333333</v>
      </c>
      <c r="P152" s="189">
        <v>-33.716366111111114</v>
      </c>
      <c r="Q152">
        <v>6.668</v>
      </c>
      <c r="R152">
        <v>0.049</v>
      </c>
    </row>
    <row r="153" spans="1:18" ht="13.5">
      <c r="A153" t="s">
        <v>201</v>
      </c>
      <c r="B153" t="s">
        <v>418</v>
      </c>
      <c r="C153" t="s">
        <v>634</v>
      </c>
      <c r="D153" s="189">
        <v>17.87651225</v>
      </c>
      <c r="E153" s="189">
        <v>1.3050136111111112</v>
      </c>
      <c r="F153" t="s">
        <v>1153</v>
      </c>
      <c r="G153">
        <v>5.954</v>
      </c>
      <c r="H153">
        <v>1.571</v>
      </c>
      <c r="I153" t="s">
        <v>843</v>
      </c>
      <c r="J153" s="189">
        <v>17.86651277777778</v>
      </c>
      <c r="K153" s="189">
        <v>-1.2368055555555557</v>
      </c>
      <c r="L153">
        <v>6.34</v>
      </c>
      <c r="M153">
        <v>1.12</v>
      </c>
      <c r="N153" t="s">
        <v>1035</v>
      </c>
      <c r="O153" s="189">
        <v>17.8219565</v>
      </c>
      <c r="P153" s="189">
        <v>1.9614136111111111</v>
      </c>
      <c r="Q153">
        <v>6.463</v>
      </c>
      <c r="R153">
        <v>0.451</v>
      </c>
    </row>
    <row r="154" spans="1:18" ht="13.5">
      <c r="A154" t="s">
        <v>200</v>
      </c>
      <c r="B154" t="s">
        <v>417</v>
      </c>
      <c r="C154" t="s">
        <v>633</v>
      </c>
      <c r="D154" s="189">
        <v>17.884254916666666</v>
      </c>
      <c r="E154" s="189">
        <v>-2.5793480555555552</v>
      </c>
      <c r="F154" t="s">
        <v>1322</v>
      </c>
      <c r="G154">
        <v>7.451</v>
      </c>
      <c r="H154">
        <v>1.565</v>
      </c>
      <c r="I154" t="s">
        <v>843</v>
      </c>
      <c r="J154" s="189">
        <v>17.86651277777778</v>
      </c>
      <c r="K154" s="189">
        <v>-1.2368055555555557</v>
      </c>
      <c r="L154">
        <v>6.34</v>
      </c>
      <c r="M154">
        <v>1.12</v>
      </c>
      <c r="N154" t="s">
        <v>1034</v>
      </c>
      <c r="O154" s="189">
        <v>17.946595833333333</v>
      </c>
      <c r="P154" s="189">
        <v>-4.081823333333333</v>
      </c>
      <c r="Q154">
        <v>5.46</v>
      </c>
      <c r="R154">
        <v>0.445</v>
      </c>
    </row>
    <row r="155" spans="1:18" ht="13.5">
      <c r="A155" t="s">
        <v>202</v>
      </c>
      <c r="B155" t="s">
        <v>419</v>
      </c>
      <c r="C155" t="s">
        <v>635</v>
      </c>
      <c r="D155" s="189">
        <v>17.903935305555553</v>
      </c>
      <c r="E155" s="189">
        <v>11.130558055555555</v>
      </c>
      <c r="F155" t="s">
        <v>1166</v>
      </c>
      <c r="G155">
        <v>6.385</v>
      </c>
      <c r="H155">
        <v>0.455</v>
      </c>
      <c r="I155" t="s">
        <v>844</v>
      </c>
      <c r="J155" s="189">
        <v>18.142704388888887</v>
      </c>
      <c r="K155" s="189">
        <v>14.284716111111111</v>
      </c>
      <c r="L155">
        <v>6.359</v>
      </c>
      <c r="M155">
        <v>0.179</v>
      </c>
      <c r="N155" t="s">
        <v>1036</v>
      </c>
      <c r="O155" s="189">
        <v>18.025889638888888</v>
      </c>
      <c r="P155" s="189">
        <v>11.285757222222221</v>
      </c>
      <c r="Q155">
        <v>7.014</v>
      </c>
      <c r="R155">
        <v>0.276</v>
      </c>
    </row>
    <row r="156" spans="1:18" ht="13.5">
      <c r="A156" t="s">
        <v>203</v>
      </c>
      <c r="B156" t="s">
        <v>420</v>
      </c>
      <c r="C156" t="s">
        <v>636</v>
      </c>
      <c r="D156" s="189">
        <v>17.923663583333333</v>
      </c>
      <c r="E156" s="189">
        <v>26.049990555555556</v>
      </c>
      <c r="F156" t="s">
        <v>1167</v>
      </c>
      <c r="G156">
        <v>5.452</v>
      </c>
      <c r="H156">
        <v>0.339</v>
      </c>
      <c r="I156" t="s">
        <v>845</v>
      </c>
      <c r="J156" s="189">
        <v>17.81365186111111</v>
      </c>
      <c r="K156" s="189">
        <v>25.622868611111112</v>
      </c>
      <c r="L156">
        <v>5.108</v>
      </c>
      <c r="M156">
        <v>1.152</v>
      </c>
      <c r="N156" t="s">
        <v>1037</v>
      </c>
      <c r="O156" s="189">
        <v>17.95397936111111</v>
      </c>
      <c r="P156" s="189">
        <v>23.995889166666668</v>
      </c>
      <c r="Q156">
        <v>6.301</v>
      </c>
      <c r="R156">
        <v>0.813</v>
      </c>
    </row>
    <row r="157" spans="1:18" ht="13.5">
      <c r="A157" t="s">
        <v>204</v>
      </c>
      <c r="B157" t="s">
        <v>421</v>
      </c>
      <c r="C157" t="s">
        <v>637</v>
      </c>
      <c r="D157" s="189">
        <v>18.0043885</v>
      </c>
      <c r="E157" s="189">
        <v>4.368615277777778</v>
      </c>
      <c r="F157" t="s">
        <v>1168</v>
      </c>
      <c r="G157">
        <v>4.658</v>
      </c>
      <c r="H157">
        <v>0.034</v>
      </c>
      <c r="I157" t="s">
        <v>846</v>
      </c>
      <c r="J157" s="189">
        <v>18.014683027777778</v>
      </c>
      <c r="K157" s="189">
        <v>6.268294444444444</v>
      </c>
      <c r="L157">
        <v>6.342</v>
      </c>
      <c r="M157">
        <v>0.084</v>
      </c>
      <c r="N157" t="s">
        <v>1038</v>
      </c>
      <c r="O157" s="189">
        <v>17.94888225</v>
      </c>
      <c r="P157" s="189">
        <v>6.48773</v>
      </c>
      <c r="Q157">
        <v>6.285</v>
      </c>
      <c r="R157">
        <v>0.05</v>
      </c>
    </row>
    <row r="158" spans="1:18" ht="13.5">
      <c r="A158" t="s">
        <v>205</v>
      </c>
      <c r="B158" t="s">
        <v>422</v>
      </c>
      <c r="C158" t="s">
        <v>638</v>
      </c>
      <c r="D158" s="189">
        <v>18.025889638888888</v>
      </c>
      <c r="E158" s="189">
        <v>11.285757222222221</v>
      </c>
      <c r="F158" t="s">
        <v>1169</v>
      </c>
      <c r="G158">
        <v>7.014</v>
      </c>
      <c r="H158">
        <v>0.367</v>
      </c>
      <c r="I158" t="s">
        <v>844</v>
      </c>
      <c r="J158" s="189">
        <v>18.142704388888887</v>
      </c>
      <c r="K158" s="189">
        <v>14.284716111111111</v>
      </c>
      <c r="L158">
        <v>6.359</v>
      </c>
      <c r="M158">
        <v>0.179</v>
      </c>
      <c r="N158" t="s">
        <v>1039</v>
      </c>
      <c r="O158" s="189">
        <v>18.20991397222222</v>
      </c>
      <c r="P158" s="189">
        <v>12.393587222222221</v>
      </c>
      <c r="Q158">
        <v>7.551</v>
      </c>
      <c r="R158">
        <v>0.188</v>
      </c>
    </row>
    <row r="159" spans="1:18" ht="13.5">
      <c r="A159" t="s">
        <v>206</v>
      </c>
      <c r="B159" t="s">
        <v>423</v>
      </c>
      <c r="C159" t="s">
        <v>639</v>
      </c>
      <c r="D159" s="189">
        <v>18.198376944444444</v>
      </c>
      <c r="E159" s="189">
        <v>31.40534972222222</v>
      </c>
      <c r="F159" t="s">
        <v>1111</v>
      </c>
      <c r="G159">
        <v>4.995</v>
      </c>
      <c r="H159">
        <v>1.644</v>
      </c>
      <c r="I159" t="s">
        <v>847</v>
      </c>
      <c r="J159" s="189">
        <v>18.097114194444444</v>
      </c>
      <c r="K159" s="189">
        <v>32.230673611111115</v>
      </c>
      <c r="L159">
        <v>5.71</v>
      </c>
      <c r="M159">
        <v>1.16</v>
      </c>
      <c r="N159" t="s">
        <v>1040</v>
      </c>
      <c r="O159" s="189">
        <v>18.117094222222224</v>
      </c>
      <c r="P159" s="189">
        <v>30.562139444444444</v>
      </c>
      <c r="Q159">
        <v>5.047</v>
      </c>
      <c r="R159">
        <v>0.484</v>
      </c>
    </row>
    <row r="160" spans="1:18" ht="13.5">
      <c r="A160" t="s">
        <v>207</v>
      </c>
      <c r="B160" t="s">
        <v>424</v>
      </c>
      <c r="C160" t="s">
        <v>640</v>
      </c>
      <c r="D160" s="189">
        <v>18.331030416666668</v>
      </c>
      <c r="E160" s="189">
        <v>36.064547499999996</v>
      </c>
      <c r="F160" t="s">
        <v>1155</v>
      </c>
      <c r="G160">
        <v>4.332</v>
      </c>
      <c r="H160">
        <v>1.164</v>
      </c>
      <c r="I160" t="s">
        <v>848</v>
      </c>
      <c r="J160" s="189">
        <v>18.39924452777778</v>
      </c>
      <c r="K160" s="189">
        <v>38.73921</v>
      </c>
      <c r="L160">
        <v>6.37</v>
      </c>
      <c r="M160">
        <v>1.44</v>
      </c>
      <c r="N160" t="s">
        <v>1041</v>
      </c>
      <c r="O160" s="189">
        <v>18.166387722222222</v>
      </c>
      <c r="P160" s="189">
        <v>36.46628388888889</v>
      </c>
      <c r="Q160">
        <v>5.574</v>
      </c>
      <c r="R160">
        <v>0.276</v>
      </c>
    </row>
    <row r="161" spans="1:18" ht="13.5">
      <c r="A161" t="s">
        <v>208</v>
      </c>
      <c r="B161" t="s">
        <v>425</v>
      </c>
      <c r="C161" t="s">
        <v>641</v>
      </c>
      <c r="D161" s="189">
        <v>18.358713055555558</v>
      </c>
      <c r="E161" s="189">
        <v>-24.915276388888888</v>
      </c>
      <c r="F161" t="s">
        <v>1111</v>
      </c>
      <c r="G161">
        <v>6.244</v>
      </c>
      <c r="H161">
        <v>1.889</v>
      </c>
      <c r="I161" t="s">
        <v>849</v>
      </c>
      <c r="J161" s="189">
        <v>18.31159991666667</v>
      </c>
      <c r="K161" s="189">
        <v>-25.60479027777778</v>
      </c>
      <c r="L161">
        <v>6.52</v>
      </c>
      <c r="M161">
        <v>1.345</v>
      </c>
      <c r="N161" t="s">
        <v>1042</v>
      </c>
      <c r="O161" s="189">
        <v>18.195370277777776</v>
      </c>
      <c r="P161" s="189">
        <v>-23.701235277777776</v>
      </c>
      <c r="Q161">
        <v>4.978</v>
      </c>
      <c r="R161">
        <v>0.544</v>
      </c>
    </row>
    <row r="162" spans="1:18" ht="13.5">
      <c r="A162" t="s">
        <v>209</v>
      </c>
      <c r="B162" t="s">
        <v>426</v>
      </c>
      <c r="C162" t="s">
        <v>642</v>
      </c>
      <c r="D162" s="189">
        <v>18.359073111111112</v>
      </c>
      <c r="E162" s="189">
        <v>49.12159361111111</v>
      </c>
      <c r="F162" t="s">
        <v>1112</v>
      </c>
      <c r="G162">
        <v>5.015</v>
      </c>
      <c r="H162">
        <v>1.628</v>
      </c>
      <c r="I162" t="s">
        <v>850</v>
      </c>
      <c r="J162" s="189">
        <v>18.35198541666667</v>
      </c>
      <c r="K162" s="189">
        <v>49.72546555555556</v>
      </c>
      <c r="L162">
        <v>6.398</v>
      </c>
      <c r="M162">
        <v>1.068</v>
      </c>
      <c r="N162" t="s">
        <v>1043</v>
      </c>
      <c r="O162" s="189">
        <v>18.332239333333334</v>
      </c>
      <c r="P162" s="189">
        <v>51.34782277777778</v>
      </c>
      <c r="Q162">
        <v>6.29</v>
      </c>
      <c r="R162">
        <v>0.56</v>
      </c>
    </row>
    <row r="163" spans="1:18" ht="13.5">
      <c r="A163" t="s">
        <v>210</v>
      </c>
      <c r="B163" t="s">
        <v>427</v>
      </c>
      <c r="C163" t="s">
        <v>643</v>
      </c>
      <c r="D163" s="189">
        <v>18.42744413888889</v>
      </c>
      <c r="E163" s="189">
        <v>8.03200638888889</v>
      </c>
      <c r="F163" t="s">
        <v>1329</v>
      </c>
      <c r="G163">
        <v>5.643</v>
      </c>
      <c r="H163">
        <v>0.914</v>
      </c>
      <c r="I163" t="s">
        <v>851</v>
      </c>
      <c r="J163" s="189">
        <v>18.31931572222222</v>
      </c>
      <c r="K163" s="189">
        <v>7.259766666666667</v>
      </c>
      <c r="L163">
        <v>5.396</v>
      </c>
      <c r="M163">
        <v>1.077</v>
      </c>
      <c r="N163" t="s">
        <v>1044</v>
      </c>
      <c r="O163" s="189">
        <v>18.371674277777778</v>
      </c>
      <c r="P163" s="189">
        <v>7.548929722222222</v>
      </c>
      <c r="Q163">
        <v>7.199</v>
      </c>
      <c r="R163">
        <v>0.163</v>
      </c>
    </row>
    <row r="164" spans="1:18" ht="13.5">
      <c r="A164" t="s">
        <v>211</v>
      </c>
      <c r="B164" t="s">
        <v>428</v>
      </c>
      <c r="C164" t="s">
        <v>644</v>
      </c>
      <c r="D164" s="189">
        <v>18.453474555555555</v>
      </c>
      <c r="E164" s="189">
        <v>0.19610833333333333</v>
      </c>
      <c r="F164" t="s">
        <v>1330</v>
      </c>
      <c r="G164">
        <v>5.215</v>
      </c>
      <c r="H164">
        <v>0.49</v>
      </c>
      <c r="I164" t="s">
        <v>852</v>
      </c>
      <c r="J164" s="189">
        <v>18.494716611111112</v>
      </c>
      <c r="K164" s="189">
        <v>-1.985307777777778</v>
      </c>
      <c r="L164">
        <v>5.403</v>
      </c>
      <c r="M164">
        <v>0.962</v>
      </c>
      <c r="N164" t="s">
        <v>1045</v>
      </c>
      <c r="O164" s="189">
        <v>18.532498444444442</v>
      </c>
      <c r="P164" s="189">
        <v>-1.0029775</v>
      </c>
      <c r="Q164">
        <v>5.936</v>
      </c>
      <c r="R164">
        <v>0.472</v>
      </c>
    </row>
    <row r="165" spans="1:18" ht="13.5">
      <c r="A165" t="s">
        <v>212</v>
      </c>
      <c r="B165" t="s">
        <v>429</v>
      </c>
      <c r="C165" t="s">
        <v>645</v>
      </c>
      <c r="D165" s="189">
        <v>18.50451058333333</v>
      </c>
      <c r="E165" s="189">
        <v>21.86683916666667</v>
      </c>
      <c r="F165" t="s">
        <v>1170</v>
      </c>
      <c r="G165">
        <v>7.235</v>
      </c>
      <c r="H165">
        <v>0.735</v>
      </c>
      <c r="I165" t="s">
        <v>853</v>
      </c>
      <c r="J165" s="189">
        <v>18.516383861111112</v>
      </c>
      <c r="K165" s="189">
        <v>21.65463722222222</v>
      </c>
      <c r="L165">
        <v>7.405</v>
      </c>
      <c r="M165">
        <v>1.069</v>
      </c>
      <c r="N165" t="s">
        <v>1046</v>
      </c>
      <c r="O165" s="189">
        <v>18.488064416666667</v>
      </c>
      <c r="P165" s="189">
        <v>21.814697777777777</v>
      </c>
      <c r="Q165">
        <v>8.858</v>
      </c>
      <c r="R165">
        <v>0.334</v>
      </c>
    </row>
    <row r="166" spans="1:18" ht="13.5">
      <c r="A166" t="s">
        <v>213</v>
      </c>
      <c r="B166" t="s">
        <v>430</v>
      </c>
      <c r="C166" t="s">
        <v>646</v>
      </c>
      <c r="D166" s="189">
        <v>18.63513247222222</v>
      </c>
      <c r="E166" s="189">
        <v>39.668326388888886</v>
      </c>
      <c r="F166" t="s">
        <v>1171</v>
      </c>
      <c r="G166">
        <v>6.052</v>
      </c>
      <c r="H166">
        <v>1.635</v>
      </c>
      <c r="I166" t="s">
        <v>854</v>
      </c>
      <c r="J166" s="189">
        <v>18.659176916666667</v>
      </c>
      <c r="K166" s="189">
        <v>40.93505944444444</v>
      </c>
      <c r="L166">
        <v>6.25</v>
      </c>
      <c r="M166">
        <v>0.06</v>
      </c>
      <c r="N166" t="s">
        <v>1047</v>
      </c>
      <c r="O166" s="189">
        <v>18.67005552777778</v>
      </c>
      <c r="P166" s="189">
        <v>38.367195</v>
      </c>
      <c r="Q166">
        <v>6.45</v>
      </c>
      <c r="R166">
        <v>1.695</v>
      </c>
    </row>
    <row r="167" spans="1:18" ht="13.5">
      <c r="A167" t="s">
        <v>214</v>
      </c>
      <c r="B167" t="s">
        <v>431</v>
      </c>
      <c r="C167" t="s">
        <v>647</v>
      </c>
      <c r="D167" s="189">
        <v>18.704563</v>
      </c>
      <c r="E167" s="189">
        <v>-9.052548611111112</v>
      </c>
      <c r="F167" t="s">
        <v>1172</v>
      </c>
      <c r="G167">
        <v>4.719</v>
      </c>
      <c r="H167">
        <v>0.358</v>
      </c>
      <c r="I167" t="s">
        <v>855</v>
      </c>
      <c r="J167" s="189">
        <v>18.849585777777776</v>
      </c>
      <c r="K167" s="189">
        <v>-9.774095555555556</v>
      </c>
      <c r="L167">
        <v>5.827</v>
      </c>
      <c r="M167">
        <v>0.605</v>
      </c>
      <c r="N167" t="s">
        <v>1048</v>
      </c>
      <c r="O167" s="189">
        <v>18.73089838888889</v>
      </c>
      <c r="P167" s="189">
        <v>-6.818118611111111</v>
      </c>
      <c r="Q167">
        <v>6.306</v>
      </c>
      <c r="R167">
        <v>0.247</v>
      </c>
    </row>
    <row r="168" spans="1:18" ht="13.5">
      <c r="A168" t="s">
        <v>215</v>
      </c>
      <c r="B168" t="s">
        <v>432</v>
      </c>
      <c r="C168" t="s">
        <v>648</v>
      </c>
      <c r="D168" s="189">
        <v>18.71530536111111</v>
      </c>
      <c r="E168" s="189">
        <v>-19.284209444444446</v>
      </c>
      <c r="F168" t="s">
        <v>1117</v>
      </c>
      <c r="G168">
        <v>6.32</v>
      </c>
      <c r="H168">
        <v>1.731</v>
      </c>
      <c r="I168" t="s">
        <v>856</v>
      </c>
      <c r="J168" s="189">
        <v>18.772391305555555</v>
      </c>
      <c r="K168" s="189">
        <v>-22.392176111111112</v>
      </c>
      <c r="L168">
        <v>5.382</v>
      </c>
      <c r="M168">
        <v>1.615</v>
      </c>
      <c r="N168" t="s">
        <v>1049</v>
      </c>
      <c r="O168" s="189">
        <v>18.755182805555556</v>
      </c>
      <c r="P168" s="189">
        <v>-21.001615277777777</v>
      </c>
      <c r="Q168">
        <v>6.356</v>
      </c>
      <c r="R168">
        <v>0.116</v>
      </c>
    </row>
    <row r="169" spans="1:18" ht="13.5">
      <c r="A169" t="s">
        <v>217</v>
      </c>
      <c r="B169" t="s">
        <v>434</v>
      </c>
      <c r="C169" t="s">
        <v>650</v>
      </c>
      <c r="D169" s="189">
        <v>18.72126958333333</v>
      </c>
      <c r="E169" s="189">
        <v>39.30006638888889</v>
      </c>
      <c r="F169" t="s">
        <v>1128</v>
      </c>
      <c r="G169">
        <v>6.446</v>
      </c>
      <c r="H169">
        <v>1.59</v>
      </c>
      <c r="I169" t="s">
        <v>857</v>
      </c>
      <c r="J169" s="189">
        <v>18.91449363888889</v>
      </c>
      <c r="K169" s="189">
        <v>41.6027225</v>
      </c>
      <c r="L169">
        <v>5.443</v>
      </c>
      <c r="M169">
        <v>1.042</v>
      </c>
      <c r="N169" t="s">
        <v>1050</v>
      </c>
      <c r="O169" s="189">
        <v>18.926588250000002</v>
      </c>
      <c r="P169" s="189">
        <v>42.06028055555555</v>
      </c>
      <c r="Q169">
        <v>6.5</v>
      </c>
      <c r="R169">
        <v>0.548</v>
      </c>
    </row>
    <row r="170" spans="1:18" ht="13.5">
      <c r="A170" t="s">
        <v>216</v>
      </c>
      <c r="B170" t="s">
        <v>433</v>
      </c>
      <c r="C170" t="s">
        <v>649</v>
      </c>
      <c r="D170" s="189">
        <v>18.766985249999998</v>
      </c>
      <c r="E170" s="189">
        <v>-19.606356666666667</v>
      </c>
      <c r="F170" t="s">
        <v>1173</v>
      </c>
      <c r="G170">
        <v>6.42</v>
      </c>
      <c r="H170">
        <v>1.65</v>
      </c>
      <c r="I170" t="s">
        <v>856</v>
      </c>
      <c r="J170" s="189">
        <v>18.772391305555555</v>
      </c>
      <c r="K170" s="189">
        <v>-22.392176111111112</v>
      </c>
      <c r="L170">
        <v>5.382</v>
      </c>
      <c r="M170">
        <v>1.615</v>
      </c>
      <c r="N170" t="s">
        <v>1049</v>
      </c>
      <c r="O170" s="189">
        <v>18.755182805555556</v>
      </c>
      <c r="P170" s="189">
        <v>-21.001615277777777</v>
      </c>
      <c r="Q170">
        <v>6.356</v>
      </c>
      <c r="R170">
        <v>0.035</v>
      </c>
    </row>
    <row r="171" spans="1:18" ht="13.5">
      <c r="A171" t="s">
        <v>219</v>
      </c>
      <c r="B171" t="s">
        <v>436</v>
      </c>
      <c r="C171" t="s">
        <v>652</v>
      </c>
      <c r="D171" s="189">
        <v>18.778635555555553</v>
      </c>
      <c r="E171" s="189">
        <v>52.98796027777778</v>
      </c>
      <c r="F171" t="s">
        <v>1331</v>
      </c>
      <c r="G171">
        <v>5.905</v>
      </c>
      <c r="H171">
        <v>0.079</v>
      </c>
      <c r="I171" t="s">
        <v>859</v>
      </c>
      <c r="J171" s="189">
        <v>18.72472597222222</v>
      </c>
      <c r="K171" s="189">
        <v>53.871766944444445</v>
      </c>
      <c r="L171">
        <v>6.205</v>
      </c>
      <c r="M171">
        <v>0.075</v>
      </c>
      <c r="N171" t="s">
        <v>1052</v>
      </c>
      <c r="O171" s="189">
        <v>18.53649413888889</v>
      </c>
      <c r="P171" s="189">
        <v>52.11553666666667</v>
      </c>
      <c r="Q171">
        <v>6.566</v>
      </c>
      <c r="R171">
        <v>0.154</v>
      </c>
    </row>
    <row r="172" spans="1:18" ht="13.5">
      <c r="A172" t="s">
        <v>218</v>
      </c>
      <c r="B172" t="s">
        <v>435</v>
      </c>
      <c r="C172" t="s">
        <v>651</v>
      </c>
      <c r="D172" s="189">
        <v>18.791375083333335</v>
      </c>
      <c r="E172" s="189">
        <v>-5.7051469444444445</v>
      </c>
      <c r="F172" t="s">
        <v>1142</v>
      </c>
      <c r="G172">
        <v>5.162</v>
      </c>
      <c r="H172">
        <v>1.447</v>
      </c>
      <c r="I172" t="s">
        <v>858</v>
      </c>
      <c r="J172" s="189">
        <v>18.828043138888887</v>
      </c>
      <c r="K172" s="189">
        <v>-5.9128625</v>
      </c>
      <c r="L172">
        <v>5.959</v>
      </c>
      <c r="M172">
        <v>1.626</v>
      </c>
      <c r="N172" t="s">
        <v>1051</v>
      </c>
      <c r="O172" s="189">
        <v>18.767246138888886</v>
      </c>
      <c r="P172" s="189">
        <v>-6.252025555555556</v>
      </c>
      <c r="Q172">
        <v>7.864</v>
      </c>
      <c r="R172">
        <v>0.179</v>
      </c>
    </row>
    <row r="173" spans="1:18" ht="13.5">
      <c r="A173" t="s">
        <v>221</v>
      </c>
      <c r="B173" t="s">
        <v>438</v>
      </c>
      <c r="C173" t="s">
        <v>654</v>
      </c>
      <c r="D173" s="189">
        <v>18.92225036111111</v>
      </c>
      <c r="E173" s="189">
        <v>43.94608861111111</v>
      </c>
      <c r="F173" t="s">
        <v>1114</v>
      </c>
      <c r="G173">
        <v>4.042</v>
      </c>
      <c r="H173">
        <v>1.588</v>
      </c>
      <c r="I173" t="s">
        <v>857</v>
      </c>
      <c r="J173" s="189">
        <v>18.91449363888889</v>
      </c>
      <c r="K173" s="189">
        <v>41.6027225</v>
      </c>
      <c r="L173">
        <v>5.443</v>
      </c>
      <c r="M173">
        <v>1.042</v>
      </c>
      <c r="N173" t="s">
        <v>1050</v>
      </c>
      <c r="O173" s="189">
        <v>18.926588250000002</v>
      </c>
      <c r="P173" s="189">
        <v>42.06028055555555</v>
      </c>
      <c r="Q173">
        <v>6.5</v>
      </c>
      <c r="R173">
        <v>0.546</v>
      </c>
    </row>
    <row r="174" spans="1:18" ht="13.5">
      <c r="A174" t="s">
        <v>220</v>
      </c>
      <c r="B174" t="s">
        <v>437</v>
      </c>
      <c r="C174" t="s">
        <v>653</v>
      </c>
      <c r="D174" s="189">
        <v>18.924290527777778</v>
      </c>
      <c r="E174" s="189">
        <v>6.615289722222222</v>
      </c>
      <c r="F174" t="s">
        <v>1174</v>
      </c>
      <c r="G174">
        <v>5.571</v>
      </c>
      <c r="H174">
        <v>1.04</v>
      </c>
      <c r="I174" t="s">
        <v>860</v>
      </c>
      <c r="J174" s="189">
        <v>18.973251388888887</v>
      </c>
      <c r="K174" s="189">
        <v>6.239928888888889</v>
      </c>
      <c r="L174">
        <v>6.205</v>
      </c>
      <c r="M174">
        <v>0.465</v>
      </c>
      <c r="N174" t="s">
        <v>1053</v>
      </c>
      <c r="O174" s="189">
        <v>18.80074038888889</v>
      </c>
      <c r="P174" s="189">
        <v>4.241421944444444</v>
      </c>
      <c r="Q174">
        <v>6.2</v>
      </c>
      <c r="R174">
        <v>0.575</v>
      </c>
    </row>
    <row r="175" spans="1:18" ht="13.5">
      <c r="A175" t="s">
        <v>223</v>
      </c>
      <c r="B175" t="s">
        <v>440</v>
      </c>
      <c r="C175" t="s">
        <v>656</v>
      </c>
      <c r="D175" s="189">
        <v>19.40409463888889</v>
      </c>
      <c r="E175" s="189">
        <v>50.255426944444444</v>
      </c>
      <c r="F175" t="s">
        <v>1175</v>
      </c>
      <c r="G175">
        <v>9.323</v>
      </c>
      <c r="H175">
        <v>0.312</v>
      </c>
      <c r="I175" t="s">
        <v>861</v>
      </c>
      <c r="J175" s="189">
        <v>19.34207461111111</v>
      </c>
      <c r="K175" s="189">
        <v>50.34022527777778</v>
      </c>
      <c r="L175">
        <v>7.333</v>
      </c>
      <c r="M175">
        <v>1.547</v>
      </c>
      <c r="N175" t="s">
        <v>1054</v>
      </c>
      <c r="O175" s="189">
        <v>19.522036527777775</v>
      </c>
      <c r="P175" s="189">
        <v>50.30670583333333</v>
      </c>
      <c r="Q175">
        <v>5.532</v>
      </c>
      <c r="R175">
        <v>-1.235</v>
      </c>
    </row>
    <row r="176" spans="1:18" ht="13.5">
      <c r="A176" t="s">
        <v>222</v>
      </c>
      <c r="B176" t="s">
        <v>439</v>
      </c>
      <c r="C176" t="s">
        <v>655</v>
      </c>
      <c r="D176" s="189">
        <v>19.409185583333333</v>
      </c>
      <c r="E176" s="189">
        <v>50.24142444444445</v>
      </c>
      <c r="F176" t="s">
        <v>1176</v>
      </c>
      <c r="G176">
        <v>6.584</v>
      </c>
      <c r="H176">
        <v>0.909</v>
      </c>
      <c r="I176" t="s">
        <v>861</v>
      </c>
      <c r="J176" s="189">
        <v>19.34207461111111</v>
      </c>
      <c r="K176" s="189">
        <v>50.34022527777778</v>
      </c>
      <c r="L176">
        <v>7.333</v>
      </c>
      <c r="M176">
        <v>1.547</v>
      </c>
      <c r="N176" t="s">
        <v>1054</v>
      </c>
      <c r="O176" s="189">
        <v>19.522036527777775</v>
      </c>
      <c r="P176" s="189">
        <v>50.30670583333333</v>
      </c>
      <c r="Q176">
        <v>5.532</v>
      </c>
      <c r="R176">
        <v>0.638</v>
      </c>
    </row>
    <row r="177" spans="1:18" ht="13.5">
      <c r="A177" t="s">
        <v>224</v>
      </c>
      <c r="B177" t="s">
        <v>441</v>
      </c>
      <c r="C177" t="s">
        <v>657</v>
      </c>
      <c r="D177" s="189">
        <v>19.746955694444445</v>
      </c>
      <c r="E177" s="189">
        <v>40.71680333333334</v>
      </c>
      <c r="F177" t="s">
        <v>1117</v>
      </c>
      <c r="G177">
        <v>6.332</v>
      </c>
      <c r="H177">
        <v>1.626</v>
      </c>
      <c r="I177" t="s">
        <v>862</v>
      </c>
      <c r="J177" s="189">
        <v>19.812242972222222</v>
      </c>
      <c r="K177" s="189">
        <v>39.91665138888889</v>
      </c>
      <c r="L177">
        <v>7.014</v>
      </c>
      <c r="M177">
        <v>0.405</v>
      </c>
      <c r="N177" t="s">
        <v>1055</v>
      </c>
      <c r="O177" s="189">
        <v>19.824306749999998</v>
      </c>
      <c r="P177" s="189">
        <v>38.71014944444445</v>
      </c>
      <c r="Q177">
        <v>6.107</v>
      </c>
      <c r="R177">
        <v>1.221</v>
      </c>
    </row>
    <row r="178" spans="1:18" ht="13.5">
      <c r="A178" t="s">
        <v>226</v>
      </c>
      <c r="B178" t="s">
        <v>443</v>
      </c>
      <c r="C178" t="s">
        <v>659</v>
      </c>
      <c r="D178" s="189">
        <v>19.84275611111111</v>
      </c>
      <c r="E178" s="189">
        <v>32.91405833333333</v>
      </c>
      <c r="F178" t="s">
        <v>1332</v>
      </c>
      <c r="G178">
        <v>6.09</v>
      </c>
      <c r="H178">
        <v>1.916</v>
      </c>
      <c r="I178" t="s">
        <v>864</v>
      </c>
      <c r="J178" s="189">
        <v>19.938436638888888</v>
      </c>
      <c r="K178" s="189">
        <v>35.083423611111115</v>
      </c>
      <c r="L178">
        <v>3.886</v>
      </c>
      <c r="M178">
        <v>1.027</v>
      </c>
      <c r="N178" t="s">
        <v>1057</v>
      </c>
      <c r="O178" s="189">
        <v>19.65627933333333</v>
      </c>
      <c r="P178" s="189">
        <v>30.15332111111111</v>
      </c>
      <c r="Q178">
        <v>4.696</v>
      </c>
      <c r="R178">
        <v>0.889</v>
      </c>
    </row>
    <row r="179" spans="1:18" ht="13.5">
      <c r="A179" t="s">
        <v>225</v>
      </c>
      <c r="B179" t="s">
        <v>442</v>
      </c>
      <c r="C179" t="s">
        <v>658</v>
      </c>
      <c r="D179" s="189">
        <v>19.851141222222225</v>
      </c>
      <c r="E179" s="189">
        <v>22.61004638888889</v>
      </c>
      <c r="F179" t="s">
        <v>1331</v>
      </c>
      <c r="G179">
        <v>4.933</v>
      </c>
      <c r="H179">
        <v>0.158</v>
      </c>
      <c r="I179" t="s">
        <v>863</v>
      </c>
      <c r="J179" s="189">
        <v>19.8910265</v>
      </c>
      <c r="K179" s="189">
        <v>24.07961388888889</v>
      </c>
      <c r="L179">
        <v>4.575</v>
      </c>
      <c r="M179">
        <v>0.053</v>
      </c>
      <c r="N179" t="s">
        <v>1056</v>
      </c>
      <c r="O179" s="189">
        <v>19.576360083333334</v>
      </c>
      <c r="P179" s="189">
        <v>19.773402777777775</v>
      </c>
      <c r="Q179">
        <v>5.001</v>
      </c>
      <c r="R179">
        <v>0.105</v>
      </c>
    </row>
    <row r="180" spans="1:18" ht="13.5">
      <c r="A180" t="s">
        <v>1290</v>
      </c>
      <c r="B180" t="s">
        <v>1291</v>
      </c>
      <c r="C180"/>
      <c r="D180" s="189">
        <v>19.850444444444445</v>
      </c>
      <c r="E180" s="189">
        <v>10.415833333333333</v>
      </c>
      <c r="F180" t="s">
        <v>1333</v>
      </c>
      <c r="G180">
        <v>5.118</v>
      </c>
      <c r="H180">
        <v>0.551</v>
      </c>
      <c r="I180" t="s">
        <v>1334</v>
      </c>
      <c r="J180" s="189">
        <v>19.614583333333336</v>
      </c>
      <c r="K180" s="189">
        <v>11.273333333333333</v>
      </c>
      <c r="L180">
        <v>5.978</v>
      </c>
      <c r="M180">
        <v>0.881</v>
      </c>
      <c r="N180" t="s">
        <v>1352</v>
      </c>
      <c r="O180" s="189">
        <v>19.904138888888887</v>
      </c>
      <c r="P180" s="189">
        <v>8.461388888888887</v>
      </c>
      <c r="Q180">
        <v>4.704</v>
      </c>
      <c r="R180">
        <v>0.33</v>
      </c>
    </row>
    <row r="181" spans="1:18" ht="13.5">
      <c r="A181" t="s">
        <v>227</v>
      </c>
      <c r="B181" t="s">
        <v>444</v>
      </c>
      <c r="C181" t="s">
        <v>660</v>
      </c>
      <c r="D181" s="189">
        <v>20.049466083333336</v>
      </c>
      <c r="E181" s="189">
        <v>57.08459361111111</v>
      </c>
      <c r="F181" t="s">
        <v>1177</v>
      </c>
      <c r="G181">
        <v>7.759</v>
      </c>
      <c r="H181">
        <v>0.061</v>
      </c>
      <c r="I181" t="s">
        <v>865</v>
      </c>
      <c r="J181" s="189">
        <v>20.02931611111111</v>
      </c>
      <c r="K181" s="189">
        <v>57.65180722222222</v>
      </c>
      <c r="L181">
        <v>7.68</v>
      </c>
      <c r="M181">
        <v>0.08</v>
      </c>
      <c r="N181" t="s">
        <v>1058</v>
      </c>
      <c r="O181" s="189">
        <v>19.92279613888889</v>
      </c>
      <c r="P181" s="189">
        <v>58.250193333333335</v>
      </c>
      <c r="Q181">
        <v>6.039</v>
      </c>
      <c r="R181">
        <v>0.141</v>
      </c>
    </row>
    <row r="182" spans="1:18" ht="13.5">
      <c r="A182" t="s">
        <v>228</v>
      </c>
      <c r="B182" t="s">
        <v>445</v>
      </c>
      <c r="C182" t="s">
        <v>661</v>
      </c>
      <c r="D182" s="189">
        <v>20.106046555555558</v>
      </c>
      <c r="E182" s="189">
        <v>35.97246805555556</v>
      </c>
      <c r="F182" t="s">
        <v>1178</v>
      </c>
      <c r="G182">
        <v>5.36</v>
      </c>
      <c r="H182">
        <v>0.853</v>
      </c>
      <c r="I182" t="s">
        <v>864</v>
      </c>
      <c r="J182" s="189">
        <v>19.938436638888888</v>
      </c>
      <c r="K182" s="189">
        <v>35.083423611111115</v>
      </c>
      <c r="L182">
        <v>3.885</v>
      </c>
      <c r="M182">
        <v>1.027</v>
      </c>
      <c r="N182" t="s">
        <v>1059</v>
      </c>
      <c r="O182" s="189">
        <v>20.30795986111111</v>
      </c>
      <c r="P182" s="189">
        <v>36.99980277777778</v>
      </c>
      <c r="Q182">
        <v>5.573</v>
      </c>
      <c r="R182">
        <v>0.174</v>
      </c>
    </row>
    <row r="183" spans="1:18" ht="13.5">
      <c r="A183" t="s">
        <v>229</v>
      </c>
      <c r="B183" t="s">
        <v>446</v>
      </c>
      <c r="C183" t="s">
        <v>662</v>
      </c>
      <c r="D183" s="189">
        <v>20.27322525</v>
      </c>
      <c r="E183" s="189">
        <v>-36.45357472222223</v>
      </c>
      <c r="F183" t="s">
        <v>1117</v>
      </c>
      <c r="G183">
        <v>6.39</v>
      </c>
      <c r="H183">
        <v>1.54</v>
      </c>
      <c r="I183" t="s">
        <v>866</v>
      </c>
      <c r="J183" s="189">
        <v>20.18664947222222</v>
      </c>
      <c r="K183" s="189">
        <v>-36.10121277777778</v>
      </c>
      <c r="L183">
        <v>5.317</v>
      </c>
      <c r="M183">
        <v>0.865</v>
      </c>
      <c r="N183" t="s">
        <v>1060</v>
      </c>
      <c r="O183" s="189">
        <v>20.27401325</v>
      </c>
      <c r="P183" s="189">
        <v>-35.19846833333333</v>
      </c>
      <c r="Q183">
        <v>6.53</v>
      </c>
      <c r="R183">
        <v>0.675</v>
      </c>
    </row>
    <row r="184" spans="1:18" ht="13.5">
      <c r="A184" t="s">
        <v>230</v>
      </c>
      <c r="B184" t="s">
        <v>447</v>
      </c>
      <c r="C184" t="s">
        <v>663</v>
      </c>
      <c r="D184" s="189">
        <v>20.28202375</v>
      </c>
      <c r="E184" s="189">
        <v>40.365075000000004</v>
      </c>
      <c r="F184" t="s">
        <v>1179</v>
      </c>
      <c r="G184">
        <v>5.236</v>
      </c>
      <c r="H184">
        <v>1.65</v>
      </c>
      <c r="I184" t="s">
        <v>867</v>
      </c>
      <c r="J184" s="189">
        <v>19.824306749999998</v>
      </c>
      <c r="K184" s="189">
        <v>38.71014944444445</v>
      </c>
      <c r="L184">
        <v>6.107</v>
      </c>
      <c r="M184">
        <v>0.896</v>
      </c>
      <c r="N184" t="s">
        <v>1061</v>
      </c>
      <c r="O184" s="189">
        <v>19.84635361111111</v>
      </c>
      <c r="P184" s="189">
        <v>37.826324444444445</v>
      </c>
      <c r="Q184">
        <v>6.079</v>
      </c>
      <c r="R184">
        <v>0.754</v>
      </c>
    </row>
    <row r="185" spans="1:18" ht="13.5">
      <c r="A185" t="s">
        <v>231</v>
      </c>
      <c r="B185" t="s">
        <v>448</v>
      </c>
      <c r="C185" t="s">
        <v>664</v>
      </c>
      <c r="D185" s="189">
        <v>20.296444944444445</v>
      </c>
      <c r="E185" s="189">
        <v>38.03293027777778</v>
      </c>
      <c r="F185" t="s">
        <v>1180</v>
      </c>
      <c r="G185">
        <v>4.776</v>
      </c>
      <c r="H185">
        <v>0.412</v>
      </c>
      <c r="I185" t="s">
        <v>868</v>
      </c>
      <c r="J185" s="189">
        <v>19.931045083333334</v>
      </c>
      <c r="K185" s="189">
        <v>38.48670527777778</v>
      </c>
      <c r="L185">
        <v>4.936</v>
      </c>
      <c r="M185">
        <v>0.086</v>
      </c>
      <c r="N185" t="s">
        <v>1059</v>
      </c>
      <c r="O185" s="189">
        <v>20.30795986111111</v>
      </c>
      <c r="P185" s="189">
        <v>36.99980277777778</v>
      </c>
      <c r="Q185">
        <v>5.573</v>
      </c>
      <c r="R185">
        <v>0.498</v>
      </c>
    </row>
    <row r="186" spans="1:18" ht="13.5">
      <c r="A186" t="s">
        <v>232</v>
      </c>
      <c r="B186" t="s">
        <v>449</v>
      </c>
      <c r="C186" t="s">
        <v>665</v>
      </c>
      <c r="D186" s="189">
        <v>20.428920861111113</v>
      </c>
      <c r="E186" s="189">
        <v>10.055999166666668</v>
      </c>
      <c r="F186" t="s">
        <v>1153</v>
      </c>
      <c r="G186">
        <v>6.321</v>
      </c>
      <c r="H186">
        <v>1.562</v>
      </c>
      <c r="I186" t="s">
        <v>869</v>
      </c>
      <c r="J186" s="189">
        <v>20.468761027777777</v>
      </c>
      <c r="K186" s="189">
        <v>8.437447777777779</v>
      </c>
      <c r="L186">
        <v>6.243</v>
      </c>
      <c r="M186">
        <v>1.077</v>
      </c>
      <c r="N186" t="s">
        <v>1062</v>
      </c>
      <c r="O186" s="189">
        <v>20.652162277777776</v>
      </c>
      <c r="P186" s="189">
        <v>10.086203055555556</v>
      </c>
      <c r="Q186">
        <v>5.069</v>
      </c>
      <c r="R186">
        <v>0.485</v>
      </c>
    </row>
    <row r="187" spans="1:18" ht="13.5">
      <c r="A187" t="s">
        <v>233</v>
      </c>
      <c r="B187" t="s">
        <v>450</v>
      </c>
      <c r="C187" t="s">
        <v>666</v>
      </c>
      <c r="D187" s="189">
        <v>20.631869083333335</v>
      </c>
      <c r="E187" s="189">
        <v>18.26858</v>
      </c>
      <c r="F187" t="s">
        <v>1124</v>
      </c>
      <c r="G187">
        <v>6.058</v>
      </c>
      <c r="H187">
        <v>1.482</v>
      </c>
      <c r="I187" t="s">
        <v>870</v>
      </c>
      <c r="J187" s="189">
        <v>20.69949038888889</v>
      </c>
      <c r="K187" s="189">
        <v>17.52148888888889</v>
      </c>
      <c r="L187">
        <v>6.202</v>
      </c>
      <c r="M187">
        <v>0.942</v>
      </c>
      <c r="N187" t="s">
        <v>1063</v>
      </c>
      <c r="O187" s="189">
        <v>20.567022527777777</v>
      </c>
      <c r="P187" s="189">
        <v>18.18548722222222</v>
      </c>
      <c r="Q187">
        <v>7.01</v>
      </c>
      <c r="R187">
        <v>0.54</v>
      </c>
    </row>
    <row r="188" spans="1:18" ht="13.5">
      <c r="A188" t="s">
        <v>234</v>
      </c>
      <c r="B188" t="s">
        <v>451</v>
      </c>
      <c r="C188" t="s">
        <v>667</v>
      </c>
      <c r="D188" s="189">
        <v>20.757843166666667</v>
      </c>
      <c r="E188" s="189">
        <v>18.090033888888886</v>
      </c>
      <c r="F188" t="s">
        <v>1181</v>
      </c>
      <c r="G188">
        <v>6.427</v>
      </c>
      <c r="H188">
        <v>1.595</v>
      </c>
      <c r="I188" t="s">
        <v>870</v>
      </c>
      <c r="J188" s="189">
        <v>20.69949038888889</v>
      </c>
      <c r="K188" s="189">
        <v>17.52148888888889</v>
      </c>
      <c r="L188">
        <v>6.202</v>
      </c>
      <c r="M188">
        <v>0.942</v>
      </c>
      <c r="N188" t="s">
        <v>1063</v>
      </c>
      <c r="O188" s="189">
        <v>20.567022527777777</v>
      </c>
      <c r="P188" s="189">
        <v>18.18548722222222</v>
      </c>
      <c r="Q188">
        <v>7.01</v>
      </c>
      <c r="R188">
        <v>0.653</v>
      </c>
    </row>
    <row r="189" spans="1:18" ht="13.5">
      <c r="A189" t="s">
        <v>235</v>
      </c>
      <c r="B189" t="s">
        <v>452</v>
      </c>
      <c r="C189" t="s">
        <v>668</v>
      </c>
      <c r="D189" s="189">
        <v>20.795621111111114</v>
      </c>
      <c r="E189" s="189">
        <v>-5.027700833333333</v>
      </c>
      <c r="F189" t="s">
        <v>1111</v>
      </c>
      <c r="G189">
        <v>4.426</v>
      </c>
      <c r="H189">
        <v>1.646</v>
      </c>
      <c r="I189" t="s">
        <v>871</v>
      </c>
      <c r="J189" s="189">
        <v>20.49416686111111</v>
      </c>
      <c r="K189" s="189">
        <v>-2.885530833333333</v>
      </c>
      <c r="L189">
        <v>4.904</v>
      </c>
      <c r="M189">
        <v>1.158</v>
      </c>
      <c r="N189" t="s">
        <v>1064</v>
      </c>
      <c r="O189" s="189">
        <v>20.612120083333334</v>
      </c>
      <c r="P189" s="189">
        <v>-2.549957222222222</v>
      </c>
      <c r="Q189">
        <v>4.905</v>
      </c>
      <c r="R189">
        <v>0.488</v>
      </c>
    </row>
    <row r="190" spans="1:18" ht="13.5">
      <c r="A190" t="s">
        <v>236</v>
      </c>
      <c r="B190" t="s">
        <v>453</v>
      </c>
      <c r="C190" t="s">
        <v>669</v>
      </c>
      <c r="D190" s="189">
        <v>20.926858333333335</v>
      </c>
      <c r="E190" s="189">
        <v>13.721535833333334</v>
      </c>
      <c r="F190" t="s">
        <v>1182</v>
      </c>
      <c r="G190">
        <v>5.188</v>
      </c>
      <c r="H190">
        <v>1.12</v>
      </c>
      <c r="I190" t="s">
        <v>872</v>
      </c>
      <c r="J190" s="189">
        <v>20.827157805555554</v>
      </c>
      <c r="K190" s="189">
        <v>12.545128055555555</v>
      </c>
      <c r="L190">
        <v>6.011</v>
      </c>
      <c r="M190">
        <v>0.42</v>
      </c>
      <c r="N190" t="s">
        <v>1065</v>
      </c>
      <c r="O190" s="189">
        <v>21.050498555555556</v>
      </c>
      <c r="P190" s="189">
        <v>14.730026111111112</v>
      </c>
      <c r="Q190">
        <v>6.304</v>
      </c>
      <c r="R190">
        <v>0.7</v>
      </c>
    </row>
    <row r="191" spans="1:18" ht="13.5">
      <c r="A191" t="s">
        <v>237</v>
      </c>
      <c r="B191" t="s">
        <v>454</v>
      </c>
      <c r="C191" t="s">
        <v>670</v>
      </c>
      <c r="D191" s="189">
        <v>20.948341055555556</v>
      </c>
      <c r="E191" s="189">
        <v>-9.697544722222222</v>
      </c>
      <c r="F191" t="s">
        <v>1153</v>
      </c>
      <c r="G191">
        <v>5.492</v>
      </c>
      <c r="H191">
        <v>1.47</v>
      </c>
      <c r="I191" t="s">
        <v>873</v>
      </c>
      <c r="J191" s="189">
        <v>21.179705444444444</v>
      </c>
      <c r="K191" s="189">
        <v>-9.35407388888889</v>
      </c>
      <c r="L191">
        <v>6.274</v>
      </c>
      <c r="M191">
        <v>1.155</v>
      </c>
      <c r="N191" t="s">
        <v>1066</v>
      </c>
      <c r="O191" s="189">
        <v>20.88488797222222</v>
      </c>
      <c r="P191" s="189">
        <v>-11.573658888888888</v>
      </c>
      <c r="Q191">
        <v>6.373</v>
      </c>
      <c r="R191">
        <v>0.315</v>
      </c>
    </row>
    <row r="192" spans="1:18" ht="13.5">
      <c r="A192" t="s">
        <v>239</v>
      </c>
      <c r="B192" t="s">
        <v>456</v>
      </c>
      <c r="C192" t="s">
        <v>672</v>
      </c>
      <c r="D192" s="189">
        <v>20.99709902777778</v>
      </c>
      <c r="E192" s="189">
        <v>47.52095111111111</v>
      </c>
      <c r="F192" t="s">
        <v>1335</v>
      </c>
      <c r="G192">
        <v>4.756</v>
      </c>
      <c r="H192">
        <v>0.068</v>
      </c>
      <c r="I192" t="s">
        <v>875</v>
      </c>
      <c r="J192" s="189">
        <v>21.324652916666665</v>
      </c>
      <c r="K192" s="189">
        <v>49.51029388888889</v>
      </c>
      <c r="L192">
        <v>5.756</v>
      </c>
      <c r="M192">
        <v>0.142</v>
      </c>
      <c r="N192" t="s">
        <v>1068</v>
      </c>
      <c r="O192" s="189">
        <v>20.83470308333333</v>
      </c>
      <c r="P192" s="189">
        <v>44.059303888888884</v>
      </c>
      <c r="Q192">
        <v>5.056</v>
      </c>
      <c r="R192">
        <v>0.074</v>
      </c>
    </row>
    <row r="193" spans="1:18" ht="13.5">
      <c r="A193" t="s">
        <v>238</v>
      </c>
      <c r="B193" t="s">
        <v>455</v>
      </c>
      <c r="C193" t="s">
        <v>671</v>
      </c>
      <c r="D193" s="189">
        <v>21.007690916666668</v>
      </c>
      <c r="E193" s="189">
        <v>19.329580833333335</v>
      </c>
      <c r="F193" t="s">
        <v>1111</v>
      </c>
      <c r="G193">
        <v>5.648</v>
      </c>
      <c r="H193">
        <v>1.612</v>
      </c>
      <c r="I193" t="s">
        <v>874</v>
      </c>
      <c r="J193" s="189">
        <v>20.69949038888889</v>
      </c>
      <c r="K193" s="189">
        <v>17.52148888888889</v>
      </c>
      <c r="L193">
        <v>6.202</v>
      </c>
      <c r="M193">
        <v>0.942</v>
      </c>
      <c r="N193" t="s">
        <v>1067</v>
      </c>
      <c r="O193" s="189">
        <v>20.67920586111111</v>
      </c>
      <c r="P193" s="189">
        <v>19.935536388888888</v>
      </c>
      <c r="Q193">
        <v>6.446</v>
      </c>
      <c r="R193">
        <v>0.67</v>
      </c>
    </row>
    <row r="194" spans="1:18" ht="13.5">
      <c r="A194" t="s">
        <v>1396</v>
      </c>
      <c r="B194" t="s">
        <v>1397</v>
      </c>
      <c r="C194" t="s">
        <v>1398</v>
      </c>
      <c r="D194" s="189">
        <v>21.082194444444443</v>
      </c>
      <c r="E194" s="189">
        <v>43.92777777777778</v>
      </c>
      <c r="F194" t="s">
        <v>1399</v>
      </c>
      <c r="G194">
        <v>3.733</v>
      </c>
      <c r="H194">
        <v>1.652</v>
      </c>
      <c r="I194" t="s">
        <v>1400</v>
      </c>
      <c r="J194" s="189">
        <v>21.490833333333335</v>
      </c>
      <c r="K194" s="189">
        <v>46.54055555555556</v>
      </c>
      <c r="L194">
        <v>5.237</v>
      </c>
      <c r="M194">
        <v>0.977</v>
      </c>
      <c r="N194" t="s">
        <v>1401</v>
      </c>
      <c r="O194" s="189">
        <v>20.97208333333333</v>
      </c>
      <c r="P194" s="189">
        <v>44.47166666666667</v>
      </c>
      <c r="Q194">
        <v>5.552</v>
      </c>
      <c r="R194">
        <v>0.675</v>
      </c>
    </row>
    <row r="195" spans="1:18" ht="13.5">
      <c r="A195" t="s">
        <v>240</v>
      </c>
      <c r="B195" t="s">
        <v>457</v>
      </c>
      <c r="C195" t="s">
        <v>673</v>
      </c>
      <c r="D195" s="189">
        <v>21.328548555555557</v>
      </c>
      <c r="E195" s="189">
        <v>55.450070555555556</v>
      </c>
      <c r="F195" t="s">
        <v>1124</v>
      </c>
      <c r="G195">
        <v>7.307</v>
      </c>
      <c r="H195">
        <v>1.491</v>
      </c>
      <c r="I195" t="s">
        <v>876</v>
      </c>
      <c r="J195" s="189">
        <v>21.287290833333333</v>
      </c>
      <c r="K195" s="189">
        <v>55.79800111111111</v>
      </c>
      <c r="L195">
        <v>5.981</v>
      </c>
      <c r="M195">
        <v>1.45</v>
      </c>
      <c r="N195" t="s">
        <v>1069</v>
      </c>
      <c r="O195" s="189">
        <v>21.307481250000002</v>
      </c>
      <c r="P195" s="189">
        <v>54.17376833333333</v>
      </c>
      <c r="Q195">
        <v>7.431</v>
      </c>
      <c r="R195">
        <v>0.041</v>
      </c>
    </row>
    <row r="196" spans="1:18" ht="13.5">
      <c r="A196" t="s">
        <v>241</v>
      </c>
      <c r="B196" t="s">
        <v>458</v>
      </c>
      <c r="C196" t="s">
        <v>674</v>
      </c>
      <c r="D196" s="189">
        <v>21.380167750000002</v>
      </c>
      <c r="E196" s="189">
        <v>40.93255083333333</v>
      </c>
      <c r="F196" t="s">
        <v>1161</v>
      </c>
      <c r="G196">
        <v>7.128</v>
      </c>
      <c r="H196">
        <v>1.186</v>
      </c>
      <c r="I196" t="s">
        <v>877</v>
      </c>
      <c r="J196" s="189">
        <v>21.381863666666668</v>
      </c>
      <c r="K196" s="189">
        <v>38.708511944444446</v>
      </c>
      <c r="L196">
        <v>7.262</v>
      </c>
      <c r="M196">
        <v>1.051</v>
      </c>
      <c r="N196" t="s">
        <v>1070</v>
      </c>
      <c r="O196" s="189">
        <v>21.396774555555556</v>
      </c>
      <c r="P196" s="189">
        <v>37.35148111111111</v>
      </c>
      <c r="Q196">
        <v>6.43</v>
      </c>
      <c r="R196">
        <v>0.135</v>
      </c>
    </row>
    <row r="197" spans="1:18" ht="13.5">
      <c r="A197" t="s">
        <v>243</v>
      </c>
      <c r="B197" t="s">
        <v>460</v>
      </c>
      <c r="C197" t="s">
        <v>676</v>
      </c>
      <c r="D197" s="189">
        <v>21.457021416666667</v>
      </c>
      <c r="E197" s="189">
        <v>59.750075</v>
      </c>
      <c r="F197" t="s">
        <v>1336</v>
      </c>
      <c r="G197">
        <v>6.094</v>
      </c>
      <c r="H197">
        <v>1.737</v>
      </c>
      <c r="I197" t="s">
        <v>879</v>
      </c>
      <c r="J197" s="189">
        <v>21.40642625</v>
      </c>
      <c r="K197" s="189">
        <v>24.528393055555554</v>
      </c>
      <c r="L197">
        <v>6.365</v>
      </c>
      <c r="M197">
        <v>1.044</v>
      </c>
      <c r="N197" t="s">
        <v>1072</v>
      </c>
      <c r="O197" s="189">
        <v>21.71260197222222</v>
      </c>
      <c r="P197" s="189">
        <v>59.27084444444444</v>
      </c>
      <c r="Q197">
        <v>6.077</v>
      </c>
      <c r="R197">
        <v>0.693</v>
      </c>
    </row>
    <row r="198" spans="1:18" ht="13.5">
      <c r="A198" t="s">
        <v>244</v>
      </c>
      <c r="B198" t="s">
        <v>461</v>
      </c>
      <c r="C198" t="s">
        <v>677</v>
      </c>
      <c r="D198" s="189">
        <v>21.477666666666664</v>
      </c>
      <c r="E198" s="189">
        <v>70.56083333333333</v>
      </c>
      <c r="F198" t="s">
        <v>1183</v>
      </c>
      <c r="G198">
        <v>3.233</v>
      </c>
      <c r="H198">
        <v>0.222</v>
      </c>
      <c r="I198" t="s">
        <v>880</v>
      </c>
      <c r="J198" s="189">
        <v>21.462816666666665</v>
      </c>
      <c r="K198" s="189">
        <v>66.80909444444444</v>
      </c>
      <c r="L198">
        <v>5.43</v>
      </c>
      <c r="M198">
        <v>0.11</v>
      </c>
      <c r="N198" t="s">
        <v>1073</v>
      </c>
      <c r="O198" s="189">
        <v>21.783569444444446</v>
      </c>
      <c r="P198" s="189">
        <v>70.15088333333334</v>
      </c>
      <c r="Q198">
        <v>6.45</v>
      </c>
      <c r="R198">
        <v>0.112</v>
      </c>
    </row>
    <row r="199" spans="1:18" ht="13.5">
      <c r="A199" t="s">
        <v>242</v>
      </c>
      <c r="B199" t="s">
        <v>459</v>
      </c>
      <c r="C199" t="s">
        <v>675</v>
      </c>
      <c r="D199" s="189">
        <v>21.479145694444444</v>
      </c>
      <c r="E199" s="189">
        <v>-69.50538611111111</v>
      </c>
      <c r="F199" t="s">
        <v>1114</v>
      </c>
      <c r="G199">
        <v>5.639</v>
      </c>
      <c r="H199">
        <v>1.562</v>
      </c>
      <c r="I199" t="s">
        <v>878</v>
      </c>
      <c r="J199" s="189">
        <v>21.18914802777778</v>
      </c>
      <c r="K199" s="189">
        <v>-72.54435277777777</v>
      </c>
      <c r="L199">
        <v>6.187</v>
      </c>
      <c r="M199">
        <v>1.085</v>
      </c>
      <c r="N199" t="s">
        <v>1071</v>
      </c>
      <c r="O199" s="189">
        <v>21.156235166666665</v>
      </c>
      <c r="P199" s="189">
        <v>-73.17296805555556</v>
      </c>
      <c r="Q199">
        <v>5.673</v>
      </c>
      <c r="R199">
        <v>0.477</v>
      </c>
    </row>
    <row r="200" spans="1:18" ht="13.5">
      <c r="A200" t="s">
        <v>246</v>
      </c>
      <c r="B200" t="s">
        <v>463</v>
      </c>
      <c r="C200" t="s">
        <v>679</v>
      </c>
      <c r="D200" s="189">
        <v>21.600693250000003</v>
      </c>
      <c r="E200" s="189">
        <v>45.37459138888889</v>
      </c>
      <c r="F200" t="s">
        <v>1117</v>
      </c>
      <c r="G200">
        <v>5.497</v>
      </c>
      <c r="H200">
        <v>1.602</v>
      </c>
      <c r="I200" t="s">
        <v>882</v>
      </c>
      <c r="J200" s="189">
        <v>21.490819416666668</v>
      </c>
      <c r="K200" s="189">
        <v>46.54058472222222</v>
      </c>
      <c r="L200">
        <v>5.236</v>
      </c>
      <c r="M200">
        <v>0.976</v>
      </c>
      <c r="N200" t="s">
        <v>1075</v>
      </c>
      <c r="O200" s="189">
        <v>21.42209686111111</v>
      </c>
      <c r="P200" s="189">
        <v>46.71434138888889</v>
      </c>
      <c r="Q200">
        <v>5.599</v>
      </c>
      <c r="R200">
        <v>0.626</v>
      </c>
    </row>
    <row r="201" spans="1:18" ht="13.5">
      <c r="A201" t="s">
        <v>245</v>
      </c>
      <c r="B201" t="s">
        <v>462</v>
      </c>
      <c r="C201" t="s">
        <v>678</v>
      </c>
      <c r="D201" s="189">
        <v>21.609390861111113</v>
      </c>
      <c r="E201" s="189">
        <v>32.102785555555556</v>
      </c>
      <c r="F201" t="s">
        <v>1184</v>
      </c>
      <c r="G201">
        <v>8.039</v>
      </c>
      <c r="H201">
        <v>1.839</v>
      </c>
      <c r="I201" t="s">
        <v>881</v>
      </c>
      <c r="J201" s="189">
        <v>21.632090527777777</v>
      </c>
      <c r="K201" s="189">
        <v>33.20046666666667</v>
      </c>
      <c r="L201">
        <v>7.394</v>
      </c>
      <c r="M201">
        <v>1.054</v>
      </c>
      <c r="N201" t="s">
        <v>1074</v>
      </c>
      <c r="O201" s="189">
        <v>21.609176805555556</v>
      </c>
      <c r="P201" s="189">
        <v>33.234344722222225</v>
      </c>
      <c r="Q201">
        <v>7.446</v>
      </c>
      <c r="R201">
        <v>0.785</v>
      </c>
    </row>
    <row r="202" spans="1:18" ht="13.5">
      <c r="A202" t="s">
        <v>247</v>
      </c>
      <c r="B202" t="s">
        <v>464</v>
      </c>
      <c r="C202" t="s">
        <v>680</v>
      </c>
      <c r="D202" s="189">
        <v>21.66975263888889</v>
      </c>
      <c r="E202" s="189">
        <v>43.27383944444444</v>
      </c>
      <c r="F202" t="s">
        <v>1127</v>
      </c>
      <c r="G202">
        <v>5.111</v>
      </c>
      <c r="H202">
        <v>1.583</v>
      </c>
      <c r="I202" t="s">
        <v>883</v>
      </c>
      <c r="J202" s="189">
        <v>21.490819416666668</v>
      </c>
      <c r="K202" s="189">
        <v>46.54058472222222</v>
      </c>
      <c r="L202">
        <v>5.236</v>
      </c>
      <c r="M202">
        <v>0.976</v>
      </c>
      <c r="N202" t="s">
        <v>1076</v>
      </c>
      <c r="O202" s="189">
        <v>21.42209686111111</v>
      </c>
      <c r="P202" s="189">
        <v>46.71434138888889</v>
      </c>
      <c r="Q202">
        <v>5.599</v>
      </c>
      <c r="R202">
        <v>0.607</v>
      </c>
    </row>
    <row r="203" spans="1:18" ht="13.5">
      <c r="A203" t="s">
        <v>248</v>
      </c>
      <c r="B203" t="s">
        <v>465</v>
      </c>
      <c r="C203" t="s">
        <v>681</v>
      </c>
      <c r="D203" s="189">
        <v>21.70232063888889</v>
      </c>
      <c r="E203" s="189">
        <v>45.76569722222222</v>
      </c>
      <c r="F203" t="s">
        <v>1185</v>
      </c>
      <c r="G203">
        <v>6.081</v>
      </c>
      <c r="H203">
        <v>1.531</v>
      </c>
      <c r="I203" t="s">
        <v>882</v>
      </c>
      <c r="J203" s="189">
        <v>21.490819416666668</v>
      </c>
      <c r="K203" s="189">
        <v>46.54058472222222</v>
      </c>
      <c r="L203">
        <v>5.236</v>
      </c>
      <c r="M203">
        <v>0.976</v>
      </c>
      <c r="N203" t="s">
        <v>1075</v>
      </c>
      <c r="O203" s="189">
        <v>21.42209686111111</v>
      </c>
      <c r="P203" s="189">
        <v>46.71434138888889</v>
      </c>
      <c r="Q203">
        <v>5.599</v>
      </c>
      <c r="R203">
        <v>0.555</v>
      </c>
    </row>
    <row r="204" spans="1:18" ht="13.5">
      <c r="A204" t="s">
        <v>249</v>
      </c>
      <c r="B204" t="s">
        <v>466</v>
      </c>
      <c r="C204" t="s">
        <v>682</v>
      </c>
      <c r="D204" s="189">
        <v>21.725128027777775</v>
      </c>
      <c r="E204" s="189">
        <v>58.78004611111111</v>
      </c>
      <c r="F204" t="s">
        <v>1186</v>
      </c>
      <c r="G204">
        <v>4.109</v>
      </c>
      <c r="H204">
        <v>2.323</v>
      </c>
      <c r="I204" t="s">
        <v>884</v>
      </c>
      <c r="J204" s="189">
        <v>21.71260197222222</v>
      </c>
      <c r="K204" s="189">
        <v>59.27084444444444</v>
      </c>
      <c r="L204">
        <v>6.077</v>
      </c>
      <c r="M204">
        <v>1.342</v>
      </c>
      <c r="N204" t="s">
        <v>1077</v>
      </c>
      <c r="O204" s="189">
        <v>21.675679916666667</v>
      </c>
      <c r="P204" s="189">
        <v>59.75275444444444</v>
      </c>
      <c r="Q204">
        <v>6.88</v>
      </c>
      <c r="R204">
        <v>0.981</v>
      </c>
    </row>
    <row r="205" spans="1:18" ht="13.5">
      <c r="A205" t="s">
        <v>250</v>
      </c>
      <c r="B205" t="s">
        <v>467</v>
      </c>
      <c r="C205" t="s">
        <v>683</v>
      </c>
      <c r="D205" s="189">
        <v>22.13790197222222</v>
      </c>
      <c r="E205" s="189">
        <v>72.76851555555555</v>
      </c>
      <c r="F205" t="s">
        <v>1131</v>
      </c>
      <c r="G205">
        <v>6.95</v>
      </c>
      <c r="H205">
        <v>1.93</v>
      </c>
      <c r="I205" t="s">
        <v>885</v>
      </c>
      <c r="J205" s="189">
        <v>22.214657416666665</v>
      </c>
      <c r="K205" s="189">
        <v>73.30719305555556</v>
      </c>
      <c r="L205">
        <v>6.07</v>
      </c>
      <c r="M205">
        <v>1.023</v>
      </c>
      <c r="N205" t="s">
        <v>1079</v>
      </c>
      <c r="O205" s="189">
        <v>22.292277805555557</v>
      </c>
      <c r="P205" s="189">
        <v>70.05892777777777</v>
      </c>
      <c r="Q205">
        <v>7.22</v>
      </c>
      <c r="R205">
        <v>0.907</v>
      </c>
    </row>
    <row r="206" spans="1:18" ht="13.5">
      <c r="A206" t="s">
        <v>251</v>
      </c>
      <c r="B206" t="s">
        <v>468</v>
      </c>
      <c r="C206" t="s">
        <v>684</v>
      </c>
      <c r="D206" s="189">
        <v>22.33379947222222</v>
      </c>
      <c r="E206" s="189">
        <v>-80.43974694444445</v>
      </c>
      <c r="F206" t="s">
        <v>1114</v>
      </c>
      <c r="G206">
        <v>5.097</v>
      </c>
      <c r="H206">
        <v>1.47</v>
      </c>
      <c r="I206" t="s">
        <v>886</v>
      </c>
      <c r="J206" s="189">
        <v>22.59070133333333</v>
      </c>
      <c r="K206" s="189">
        <v>-78.771585</v>
      </c>
      <c r="L206">
        <v>6.137</v>
      </c>
      <c r="M206">
        <v>1.371</v>
      </c>
      <c r="N206" t="s">
        <v>1080</v>
      </c>
      <c r="O206" s="189">
        <v>22.297387555555556</v>
      </c>
      <c r="P206" s="189">
        <v>-77.51155333333334</v>
      </c>
      <c r="Q206">
        <v>5.498</v>
      </c>
      <c r="R206">
        <v>0.099</v>
      </c>
    </row>
    <row r="207" spans="1:18" ht="13.5">
      <c r="A207" t="s">
        <v>252</v>
      </c>
      <c r="B207" t="s">
        <v>469</v>
      </c>
      <c r="C207" t="s">
        <v>685</v>
      </c>
      <c r="D207" s="189">
        <v>22.385282305555556</v>
      </c>
      <c r="E207" s="189">
        <v>55.96323</v>
      </c>
      <c r="F207" t="s">
        <v>1337</v>
      </c>
      <c r="G207">
        <v>6.626</v>
      </c>
      <c r="H207">
        <v>2.275</v>
      </c>
      <c r="I207" t="s">
        <v>887</v>
      </c>
      <c r="J207" s="189">
        <v>22.27404547222222</v>
      </c>
      <c r="K207" s="189">
        <v>57.220238333333334</v>
      </c>
      <c r="L207">
        <v>5.878</v>
      </c>
      <c r="M207">
        <v>0.941</v>
      </c>
      <c r="N207" t="s">
        <v>1081</v>
      </c>
      <c r="O207" s="189">
        <v>22.344102694444445</v>
      </c>
      <c r="P207" s="189">
        <v>58.40990444444444</v>
      </c>
      <c r="Q207">
        <v>6.479</v>
      </c>
      <c r="R207">
        <v>1.334</v>
      </c>
    </row>
    <row r="208" spans="1:18" ht="13.5">
      <c r="A208" t="s">
        <v>254</v>
      </c>
      <c r="B208" t="s">
        <v>471</v>
      </c>
      <c r="C208" t="s">
        <v>687</v>
      </c>
      <c r="D208" s="189">
        <v>22.486185083333336</v>
      </c>
      <c r="E208" s="189">
        <v>58.41519861111111</v>
      </c>
      <c r="F208" t="s">
        <v>1187</v>
      </c>
      <c r="G208">
        <v>3.599</v>
      </c>
      <c r="H208">
        <v>0.482</v>
      </c>
      <c r="I208" t="s">
        <v>887</v>
      </c>
      <c r="J208" s="189">
        <v>22.27404547222222</v>
      </c>
      <c r="K208" s="189">
        <v>57.220238333333334</v>
      </c>
      <c r="L208">
        <v>5.877</v>
      </c>
      <c r="M208">
        <v>0.943</v>
      </c>
      <c r="N208" t="s">
        <v>890</v>
      </c>
      <c r="O208" s="189">
        <v>22.597776055555553</v>
      </c>
      <c r="P208" s="189">
        <v>56.07057416666667</v>
      </c>
      <c r="Q208">
        <v>6.381</v>
      </c>
      <c r="R208">
        <v>0.461</v>
      </c>
    </row>
    <row r="209" spans="1:18" ht="13.5">
      <c r="A209" t="s">
        <v>253</v>
      </c>
      <c r="B209" t="s">
        <v>470</v>
      </c>
      <c r="C209" t="s">
        <v>686</v>
      </c>
      <c r="D209" s="189">
        <v>22.492172833333335</v>
      </c>
      <c r="E209" s="189">
        <v>47.70688666666667</v>
      </c>
      <c r="F209" t="s">
        <v>1338</v>
      </c>
      <c r="G209">
        <v>4.361</v>
      </c>
      <c r="H209">
        <v>1.679</v>
      </c>
      <c r="I209" t="s">
        <v>888</v>
      </c>
      <c r="J209" s="189">
        <v>22.67523863888889</v>
      </c>
      <c r="K209" s="189">
        <v>44.276305</v>
      </c>
      <c r="L209">
        <v>4.485</v>
      </c>
      <c r="M209">
        <v>1.317</v>
      </c>
      <c r="N209" t="s">
        <v>1082</v>
      </c>
      <c r="O209" s="189">
        <v>22.73485527777778</v>
      </c>
      <c r="P209" s="189">
        <v>41.81923472222223</v>
      </c>
      <c r="Q209">
        <v>5.114</v>
      </c>
      <c r="R209">
        <v>0.362</v>
      </c>
    </row>
    <row r="210" spans="1:18" ht="13.5">
      <c r="A210" t="s">
        <v>255</v>
      </c>
      <c r="B210" t="s">
        <v>472</v>
      </c>
      <c r="C210" t="s">
        <v>688</v>
      </c>
      <c r="D210" s="189">
        <v>22.550017583333332</v>
      </c>
      <c r="E210" s="189">
        <v>-61.982121944444444</v>
      </c>
      <c r="F210" t="s">
        <v>1117</v>
      </c>
      <c r="G210">
        <v>4.859</v>
      </c>
      <c r="H210">
        <v>1.605</v>
      </c>
      <c r="I210" t="s">
        <v>889</v>
      </c>
      <c r="J210" s="189">
        <v>22.415664027777776</v>
      </c>
      <c r="K210" s="189">
        <v>-57.79741527777777</v>
      </c>
      <c r="L210">
        <v>5.311</v>
      </c>
      <c r="M210">
        <v>0.665</v>
      </c>
      <c r="N210" t="s">
        <v>1083</v>
      </c>
      <c r="O210" s="189">
        <v>22.680255055555556</v>
      </c>
      <c r="P210" s="189">
        <v>-57.42232194444444</v>
      </c>
      <c r="Q210">
        <v>5.97</v>
      </c>
      <c r="R210">
        <v>0.94</v>
      </c>
    </row>
    <row r="211" spans="1:18" ht="13.5">
      <c r="A211" t="s">
        <v>256</v>
      </c>
      <c r="B211" t="s">
        <v>473</v>
      </c>
      <c r="C211" t="s">
        <v>689</v>
      </c>
      <c r="D211" s="189">
        <v>22.56129163888889</v>
      </c>
      <c r="E211" s="189">
        <v>56.62473694444444</v>
      </c>
      <c r="F211" t="s">
        <v>1182</v>
      </c>
      <c r="G211">
        <v>5.707</v>
      </c>
      <c r="H211">
        <v>0.965</v>
      </c>
      <c r="I211" t="s">
        <v>890</v>
      </c>
      <c r="J211" s="189">
        <v>22.597776055555553</v>
      </c>
      <c r="K211" s="189">
        <v>56.07057416666667</v>
      </c>
      <c r="L211">
        <v>6.381</v>
      </c>
      <c r="M211">
        <v>0.097</v>
      </c>
      <c r="N211" t="s">
        <v>1084</v>
      </c>
      <c r="O211" s="189">
        <v>22.594251527777775</v>
      </c>
      <c r="P211" s="189">
        <v>56.86118277777778</v>
      </c>
      <c r="Q211">
        <v>7.638</v>
      </c>
      <c r="R211">
        <v>0.868</v>
      </c>
    </row>
    <row r="212" spans="1:18" ht="13.5">
      <c r="A212" t="s">
        <v>258</v>
      </c>
      <c r="B212" t="s">
        <v>475</v>
      </c>
      <c r="C212" t="s">
        <v>691</v>
      </c>
      <c r="D212" s="189">
        <v>22.88396275</v>
      </c>
      <c r="E212" s="189">
        <v>16.84119388888889</v>
      </c>
      <c r="F212" t="s">
        <v>1339</v>
      </c>
      <c r="G212">
        <v>5.645</v>
      </c>
      <c r="H212">
        <v>1.118</v>
      </c>
      <c r="I212" t="s">
        <v>892</v>
      </c>
      <c r="J212" s="189">
        <v>22.90502422222222</v>
      </c>
      <c r="K212" s="189">
        <v>17.794995833333335</v>
      </c>
      <c r="L212">
        <v>6.56</v>
      </c>
      <c r="M212">
        <v>1.04</v>
      </c>
      <c r="N212" t="s">
        <v>1086</v>
      </c>
      <c r="O212" s="189">
        <v>23.105038944444445</v>
      </c>
      <c r="P212" s="189">
        <v>18.517765277777777</v>
      </c>
      <c r="Q212">
        <v>6.157</v>
      </c>
      <c r="R212">
        <v>0.078</v>
      </c>
    </row>
    <row r="213" spans="1:18" ht="13.5">
      <c r="A213" t="s">
        <v>257</v>
      </c>
      <c r="B213" t="s">
        <v>474</v>
      </c>
      <c r="C213" t="s">
        <v>690</v>
      </c>
      <c r="D213" s="189">
        <v>22.893576638888888</v>
      </c>
      <c r="E213" s="189">
        <v>-7.579599166666666</v>
      </c>
      <c r="F213" t="s">
        <v>1112</v>
      </c>
      <c r="G213">
        <v>3.742</v>
      </c>
      <c r="H213">
        <v>1.64</v>
      </c>
      <c r="I213" t="s">
        <v>891</v>
      </c>
      <c r="J213" s="189">
        <v>23.26485963888889</v>
      </c>
      <c r="K213" s="189">
        <v>-9.087736944444446</v>
      </c>
      <c r="L213">
        <v>4.231</v>
      </c>
      <c r="M213">
        <v>1.107</v>
      </c>
      <c r="N213" t="s">
        <v>1085</v>
      </c>
      <c r="O213" s="189">
        <v>22.6292725</v>
      </c>
      <c r="P213" s="189">
        <v>-4.228055833333333</v>
      </c>
      <c r="Q213">
        <v>5.036</v>
      </c>
      <c r="R213">
        <v>0.533</v>
      </c>
    </row>
    <row r="214" spans="1:18" ht="13.5">
      <c r="A214" t="s">
        <v>259</v>
      </c>
      <c r="B214" t="s">
        <v>476</v>
      </c>
      <c r="C214" t="s">
        <v>692</v>
      </c>
      <c r="D214" s="189">
        <v>22.951250638888887</v>
      </c>
      <c r="E214" s="189">
        <v>48.68406805555555</v>
      </c>
      <c r="F214" t="s">
        <v>1188</v>
      </c>
      <c r="G214">
        <v>5.276</v>
      </c>
      <c r="H214">
        <v>0.101</v>
      </c>
      <c r="I214" t="s">
        <v>893</v>
      </c>
      <c r="J214" s="189">
        <v>23.12927336111111</v>
      </c>
      <c r="K214" s="189">
        <v>49.29577583333333</v>
      </c>
      <c r="L214">
        <v>5.68</v>
      </c>
      <c r="M214">
        <v>0.417</v>
      </c>
      <c r="N214" t="s">
        <v>1087</v>
      </c>
      <c r="O214" s="189">
        <v>23.121666666666666</v>
      </c>
      <c r="P214" s="189">
        <v>46.06814916666667</v>
      </c>
      <c r="Q214">
        <v>6.661</v>
      </c>
      <c r="R214">
        <v>0.518</v>
      </c>
    </row>
    <row r="215" spans="1:18" ht="13.5">
      <c r="A215" t="s">
        <v>1292</v>
      </c>
      <c r="B215" t="s">
        <v>1293</v>
      </c>
      <c r="C215" t="s">
        <v>1294</v>
      </c>
      <c r="D215" s="189">
        <v>22.95777777777778</v>
      </c>
      <c r="E215" s="189">
        <v>20.76888888888889</v>
      </c>
      <c r="F215" t="s">
        <v>1340</v>
      </c>
      <c r="G215">
        <v>5.467</v>
      </c>
      <c r="H215">
        <v>0.655</v>
      </c>
      <c r="I215" t="s">
        <v>1341</v>
      </c>
      <c r="J215" s="189">
        <v>23.105027777777778</v>
      </c>
      <c r="K215" s="189">
        <v>18.517777777777777</v>
      </c>
      <c r="L215">
        <v>6.157</v>
      </c>
      <c r="M215">
        <v>0.441</v>
      </c>
      <c r="N215" t="s">
        <v>1353</v>
      </c>
      <c r="O215" s="189">
        <v>22.757833333333334</v>
      </c>
      <c r="P215" s="189">
        <v>19.366666666666667</v>
      </c>
      <c r="Q215">
        <v>6.255</v>
      </c>
      <c r="R215">
        <v>0.214</v>
      </c>
    </row>
    <row r="216" spans="1:18" ht="13.5">
      <c r="A216" t="s">
        <v>260</v>
      </c>
      <c r="B216" t="s">
        <v>477</v>
      </c>
      <c r="C216" t="s">
        <v>693</v>
      </c>
      <c r="D216" s="189">
        <v>23.00141686111111</v>
      </c>
      <c r="E216" s="189">
        <v>56.94537388888889</v>
      </c>
      <c r="F216" t="s">
        <v>1189</v>
      </c>
      <c r="G216">
        <v>5.043</v>
      </c>
      <c r="H216">
        <v>1.413</v>
      </c>
      <c r="I216" t="s">
        <v>1274</v>
      </c>
      <c r="J216" s="189">
        <v>23.221382055555555</v>
      </c>
      <c r="K216" s="189">
        <v>57.168355</v>
      </c>
      <c r="L216">
        <v>5.567</v>
      </c>
      <c r="M216">
        <v>0.995</v>
      </c>
      <c r="N216" t="s">
        <v>1275</v>
      </c>
      <c r="O216" s="189">
        <v>22.829532055555557</v>
      </c>
      <c r="P216" s="189">
        <v>55.90277666666667</v>
      </c>
      <c r="Q216">
        <v>5.376</v>
      </c>
      <c r="R216">
        <v>0.418</v>
      </c>
    </row>
    <row r="217" spans="1:18" ht="13.5">
      <c r="A217" t="s">
        <v>261</v>
      </c>
      <c r="B217" t="s">
        <v>478</v>
      </c>
      <c r="C217" t="s">
        <v>694</v>
      </c>
      <c r="D217" s="189">
        <v>23.03201786111111</v>
      </c>
      <c r="E217" s="189">
        <v>42.32597916666667</v>
      </c>
      <c r="F217" t="s">
        <v>1342</v>
      </c>
      <c r="G217">
        <v>3.622</v>
      </c>
      <c r="H217">
        <v>0.104</v>
      </c>
      <c r="I217" t="s">
        <v>894</v>
      </c>
      <c r="J217" s="189">
        <v>22.65435519444444</v>
      </c>
      <c r="K217" s="189">
        <v>39.050269166666666</v>
      </c>
      <c r="L217">
        <v>4.88</v>
      </c>
      <c r="M217">
        <v>0.203</v>
      </c>
      <c r="N217" t="s">
        <v>1088</v>
      </c>
      <c r="O217" s="189">
        <v>22.96131625</v>
      </c>
      <c r="P217" s="189">
        <v>39.30877666666667</v>
      </c>
      <c r="Q217">
        <v>6.177</v>
      </c>
      <c r="R217">
        <v>0.099</v>
      </c>
    </row>
    <row r="218" spans="1:18" ht="13.5">
      <c r="A218" t="s">
        <v>263</v>
      </c>
      <c r="B218" t="s">
        <v>480</v>
      </c>
      <c r="C218" t="s">
        <v>696</v>
      </c>
      <c r="D218" s="189">
        <v>23.118392416666666</v>
      </c>
      <c r="E218" s="189">
        <v>50.19235805555555</v>
      </c>
      <c r="F218" t="s">
        <v>1190</v>
      </c>
      <c r="G218">
        <v>7.02</v>
      </c>
      <c r="H218">
        <v>0.336</v>
      </c>
      <c r="I218" t="s">
        <v>893</v>
      </c>
      <c r="J218" s="189">
        <v>23.12927336111111</v>
      </c>
      <c r="K218" s="189">
        <v>49.29577583333333</v>
      </c>
      <c r="L218">
        <v>5.68</v>
      </c>
      <c r="M218">
        <v>0.417</v>
      </c>
      <c r="N218" t="s">
        <v>1087</v>
      </c>
      <c r="O218" s="189">
        <v>23.121666666666666</v>
      </c>
      <c r="P218" s="189">
        <v>46.06814916666667</v>
      </c>
      <c r="Q218">
        <v>6.661</v>
      </c>
      <c r="R218">
        <v>0.081</v>
      </c>
    </row>
    <row r="219" spans="1:18" ht="13.5">
      <c r="A219" t="s">
        <v>262</v>
      </c>
      <c r="B219" t="s">
        <v>479</v>
      </c>
      <c r="C219" t="s">
        <v>695</v>
      </c>
      <c r="D219" s="189">
        <v>23.124643055555556</v>
      </c>
      <c r="E219" s="189">
        <v>21.134250555555553</v>
      </c>
      <c r="F219" t="s">
        <v>1191</v>
      </c>
      <c r="G219">
        <v>5.98</v>
      </c>
      <c r="H219">
        <v>0.255</v>
      </c>
      <c r="I219" t="s">
        <v>895</v>
      </c>
      <c r="J219" s="189">
        <v>23.039181527777778</v>
      </c>
      <c r="K219" s="189">
        <v>23.340503055555555</v>
      </c>
      <c r="L219">
        <v>6.84</v>
      </c>
      <c r="M219">
        <v>0.05</v>
      </c>
      <c r="N219" t="s">
        <v>1089</v>
      </c>
      <c r="O219" s="189">
        <v>23.108857055555557</v>
      </c>
      <c r="P219" s="189">
        <v>19.910852777777777</v>
      </c>
      <c r="Q219">
        <v>6.437</v>
      </c>
      <c r="R219">
        <v>0.205</v>
      </c>
    </row>
    <row r="220" spans="1:18" ht="13.5">
      <c r="A220" t="s">
        <v>264</v>
      </c>
      <c r="B220" t="s">
        <v>481</v>
      </c>
      <c r="C220" t="s">
        <v>697</v>
      </c>
      <c r="D220" s="189">
        <v>23.223273805555554</v>
      </c>
      <c r="E220" s="189">
        <v>2.6754394444444443</v>
      </c>
      <c r="F220" t="s">
        <v>1343</v>
      </c>
      <c r="G220">
        <v>7.4</v>
      </c>
      <c r="H220">
        <v>0.83</v>
      </c>
      <c r="I220" t="s">
        <v>896</v>
      </c>
      <c r="J220" s="189">
        <v>23.210719527777776</v>
      </c>
      <c r="K220" s="189">
        <v>2.6862213888888893</v>
      </c>
      <c r="L220">
        <v>7.713</v>
      </c>
      <c r="M220">
        <v>0.624</v>
      </c>
      <c r="N220" t="s">
        <v>1090</v>
      </c>
      <c r="O220" s="189">
        <v>23.224550805555555</v>
      </c>
      <c r="P220" s="189">
        <v>0.9305733333333333</v>
      </c>
      <c r="Q220">
        <v>7.534</v>
      </c>
      <c r="R220">
        <v>0.206</v>
      </c>
    </row>
    <row r="221" spans="1:18" ht="13.5">
      <c r="A221" t="s">
        <v>265</v>
      </c>
      <c r="B221" t="s">
        <v>482</v>
      </c>
      <c r="C221" t="s">
        <v>698</v>
      </c>
      <c r="D221" s="189">
        <v>23.280816527777777</v>
      </c>
      <c r="E221" s="189">
        <v>-7.726503611111111</v>
      </c>
      <c r="F221" t="s">
        <v>1111</v>
      </c>
      <c r="G221">
        <v>5.017</v>
      </c>
      <c r="H221">
        <v>1.606</v>
      </c>
      <c r="I221" t="s">
        <v>897</v>
      </c>
      <c r="J221" s="189">
        <v>23.26485963888889</v>
      </c>
      <c r="K221" s="189">
        <v>-9.087736944444446</v>
      </c>
      <c r="L221">
        <v>4.231</v>
      </c>
      <c r="M221">
        <v>1.107</v>
      </c>
      <c r="N221" t="s">
        <v>1091</v>
      </c>
      <c r="O221" s="189">
        <v>23.344690944444444</v>
      </c>
      <c r="P221" s="189">
        <v>-5.907975277777778</v>
      </c>
      <c r="Q221">
        <v>6.165</v>
      </c>
      <c r="R221">
        <v>0.499</v>
      </c>
    </row>
    <row r="222" spans="1:18" ht="13.5">
      <c r="A222" t="s">
        <v>266</v>
      </c>
      <c r="B222" t="s">
        <v>483</v>
      </c>
      <c r="C222" t="s">
        <v>699</v>
      </c>
      <c r="D222" s="189">
        <v>23.29573527777778</v>
      </c>
      <c r="E222" s="189">
        <v>49.015299722222224</v>
      </c>
      <c r="F222" t="s">
        <v>1112</v>
      </c>
      <c r="G222">
        <v>4.827</v>
      </c>
      <c r="H222">
        <v>1.657</v>
      </c>
      <c r="I222" t="s">
        <v>898</v>
      </c>
      <c r="J222" s="189">
        <v>23.324946722222222</v>
      </c>
      <c r="K222" s="189">
        <v>48.62532222222222</v>
      </c>
      <c r="L222">
        <v>5.432</v>
      </c>
      <c r="M222">
        <v>1.034</v>
      </c>
      <c r="N222" t="s">
        <v>1092</v>
      </c>
      <c r="O222" s="189">
        <v>21.78466666666667</v>
      </c>
      <c r="P222" s="189">
        <v>17.194166666666668</v>
      </c>
      <c r="Q222">
        <v>6.193</v>
      </c>
      <c r="R222">
        <v>0.623</v>
      </c>
    </row>
    <row r="223" spans="1:18" ht="13.5">
      <c r="A223" t="s">
        <v>267</v>
      </c>
      <c r="B223" t="s">
        <v>484</v>
      </c>
      <c r="C223" t="s">
        <v>700</v>
      </c>
      <c r="D223" s="189">
        <v>23.38243761111111</v>
      </c>
      <c r="E223" s="189">
        <v>-60.05584277777778</v>
      </c>
      <c r="F223" t="s">
        <v>1111</v>
      </c>
      <c r="G223">
        <v>6.082</v>
      </c>
      <c r="H223">
        <v>1.607</v>
      </c>
      <c r="I223" t="s">
        <v>899</v>
      </c>
      <c r="J223" s="189">
        <v>23.235162916666667</v>
      </c>
      <c r="K223" s="189">
        <v>-62.700003611111114</v>
      </c>
      <c r="L223">
        <v>6.117</v>
      </c>
      <c r="M223">
        <v>0.795</v>
      </c>
      <c r="N223" t="s">
        <v>1093</v>
      </c>
      <c r="O223" s="189">
        <v>23.282690833333334</v>
      </c>
      <c r="P223" s="189">
        <v>-62.001198055555555</v>
      </c>
      <c r="Q223">
        <v>5.655</v>
      </c>
      <c r="R223">
        <v>0.812</v>
      </c>
    </row>
    <row r="224" spans="1:18" ht="13.5">
      <c r="A224" t="s">
        <v>268</v>
      </c>
      <c r="B224" t="s">
        <v>485</v>
      </c>
      <c r="C224" t="s">
        <v>701</v>
      </c>
      <c r="D224" s="189">
        <v>23.557803805555555</v>
      </c>
      <c r="E224" s="189">
        <v>22.498774722222223</v>
      </c>
      <c r="F224" t="s">
        <v>1114</v>
      </c>
      <c r="G224">
        <v>5.333</v>
      </c>
      <c r="H224">
        <v>1.588</v>
      </c>
      <c r="I224" t="s">
        <v>900</v>
      </c>
      <c r="J224" s="189">
        <v>23.484910444444445</v>
      </c>
      <c r="K224" s="189">
        <v>23.048083611111114</v>
      </c>
      <c r="L224">
        <v>6.44</v>
      </c>
      <c r="M224">
        <v>1.1</v>
      </c>
      <c r="N224" t="s">
        <v>1094</v>
      </c>
      <c r="O224" s="189">
        <v>23.243469972222222</v>
      </c>
      <c r="P224" s="189">
        <v>24.102898055555556</v>
      </c>
      <c r="Q224">
        <v>6.34</v>
      </c>
      <c r="R224">
        <v>0.488</v>
      </c>
    </row>
    <row r="225" spans="1:18" ht="13.5">
      <c r="A225" t="s">
        <v>269</v>
      </c>
      <c r="B225" t="s">
        <v>486</v>
      </c>
      <c r="C225" t="s">
        <v>702</v>
      </c>
      <c r="D225" s="189">
        <v>23.598872805555555</v>
      </c>
      <c r="E225" s="189">
        <v>24.561012222222224</v>
      </c>
      <c r="F225" t="s">
        <v>1127</v>
      </c>
      <c r="G225">
        <v>6.455</v>
      </c>
      <c r="H225">
        <v>1.714</v>
      </c>
      <c r="I225" t="s">
        <v>900</v>
      </c>
      <c r="J225" s="189">
        <v>23.484910444444445</v>
      </c>
      <c r="K225" s="189">
        <v>23.048083611111114</v>
      </c>
      <c r="L225">
        <v>6.44</v>
      </c>
      <c r="M225">
        <v>1.1</v>
      </c>
      <c r="N225" t="s">
        <v>1094</v>
      </c>
      <c r="O225" s="189">
        <v>23.243469972222222</v>
      </c>
      <c r="P225" s="189">
        <v>24.102898055555556</v>
      </c>
      <c r="Q225">
        <v>6.34</v>
      </c>
      <c r="R225">
        <v>0.614</v>
      </c>
    </row>
    <row r="226" spans="1:18" ht="13.5">
      <c r="A226" t="s">
        <v>270</v>
      </c>
      <c r="B226" t="s">
        <v>487</v>
      </c>
      <c r="C226" t="s">
        <v>703</v>
      </c>
      <c r="D226" s="189">
        <v>23.62606736111111</v>
      </c>
      <c r="E226" s="189">
        <v>46.458151944444445</v>
      </c>
      <c r="F226" t="s">
        <v>1146</v>
      </c>
      <c r="G226">
        <v>3.81</v>
      </c>
      <c r="H226">
        <v>1.005</v>
      </c>
      <c r="I226" t="s">
        <v>901</v>
      </c>
      <c r="J226" s="189">
        <v>23.767235277777775</v>
      </c>
      <c r="K226" s="189">
        <v>46.420275</v>
      </c>
      <c r="L226">
        <v>4.99</v>
      </c>
      <c r="M226">
        <v>1.111</v>
      </c>
      <c r="N226" t="s">
        <v>1095</v>
      </c>
      <c r="O226" s="189">
        <v>23.684844805555556</v>
      </c>
      <c r="P226" s="189">
        <v>46.21826166666667</v>
      </c>
      <c r="Q226">
        <v>6.99</v>
      </c>
      <c r="R226">
        <v>0.106</v>
      </c>
    </row>
    <row r="227" spans="1:18" ht="13.5">
      <c r="A227" t="s">
        <v>271</v>
      </c>
      <c r="B227" t="s">
        <v>488</v>
      </c>
      <c r="C227" t="s">
        <v>704</v>
      </c>
      <c r="D227" s="189">
        <v>23.72287761111111</v>
      </c>
      <c r="E227" s="189">
        <v>10.331536111111111</v>
      </c>
      <c r="F227" t="s">
        <v>1112</v>
      </c>
      <c r="G227">
        <v>5.052</v>
      </c>
      <c r="H227">
        <v>1.684</v>
      </c>
      <c r="I227" t="s">
        <v>902</v>
      </c>
      <c r="J227" s="189">
        <v>23.485915527777777</v>
      </c>
      <c r="K227" s="189">
        <v>12.760553611111112</v>
      </c>
      <c r="L227">
        <v>4.539</v>
      </c>
      <c r="M227">
        <v>0.938</v>
      </c>
      <c r="N227" t="s">
        <v>1096</v>
      </c>
      <c r="O227" s="189">
        <v>23.38460236111111</v>
      </c>
      <c r="P227" s="189">
        <v>12.31391027777778</v>
      </c>
      <c r="Q227">
        <v>5.095</v>
      </c>
      <c r="R227">
        <v>0.746</v>
      </c>
    </row>
    <row r="228" spans="1:18" ht="13.5">
      <c r="A228" t="s">
        <v>272</v>
      </c>
      <c r="B228" t="s">
        <v>489</v>
      </c>
      <c r="C228" t="s">
        <v>705</v>
      </c>
      <c r="D228" s="189">
        <v>23.77319902777778</v>
      </c>
      <c r="E228" s="189">
        <v>3.486810833333333</v>
      </c>
      <c r="F228" t="s">
        <v>1319</v>
      </c>
      <c r="G228">
        <v>5.084</v>
      </c>
      <c r="H228">
        <v>2.567</v>
      </c>
      <c r="I228" t="s">
        <v>903</v>
      </c>
      <c r="J228" s="189">
        <v>23.866066333333336</v>
      </c>
      <c r="K228" s="189">
        <v>2.9303844444444445</v>
      </c>
      <c r="L228">
        <v>5.558</v>
      </c>
      <c r="M228">
        <v>1.536</v>
      </c>
      <c r="N228" t="s">
        <v>1097</v>
      </c>
      <c r="O228" s="189">
        <v>23.66584469444444</v>
      </c>
      <c r="P228" s="189">
        <v>5.626291666666667</v>
      </c>
      <c r="Q228">
        <v>4.124</v>
      </c>
      <c r="R228">
        <v>1.031</v>
      </c>
    </row>
    <row r="229" spans="1:18" ht="13.5">
      <c r="A229" t="s">
        <v>273</v>
      </c>
      <c r="B229" t="s">
        <v>490</v>
      </c>
      <c r="C229" t="s">
        <v>706</v>
      </c>
      <c r="D229" s="189">
        <v>23.85590241666667</v>
      </c>
      <c r="E229" s="189">
        <v>9.313350833333335</v>
      </c>
      <c r="F229" t="s">
        <v>1111</v>
      </c>
      <c r="G229">
        <v>5.789</v>
      </c>
      <c r="H229">
        <v>1.658</v>
      </c>
      <c r="I229" t="s">
        <v>902</v>
      </c>
      <c r="J229" s="189">
        <v>23.485915527777777</v>
      </c>
      <c r="K229" s="189">
        <v>12.760553611111112</v>
      </c>
      <c r="L229">
        <v>4.539</v>
      </c>
      <c r="M229">
        <v>0.938</v>
      </c>
      <c r="N229" t="s">
        <v>1096</v>
      </c>
      <c r="O229" s="189">
        <v>23.38460236111111</v>
      </c>
      <c r="P229" s="189">
        <v>12.31391027777778</v>
      </c>
      <c r="Q229">
        <v>5.095</v>
      </c>
      <c r="R229">
        <v>0.72</v>
      </c>
    </row>
    <row r="230" spans="1:18" ht="13.5">
      <c r="A230" t="s">
        <v>275</v>
      </c>
      <c r="B230" t="s">
        <v>492</v>
      </c>
      <c r="C230" t="s">
        <v>708</v>
      </c>
      <c r="D230" s="189">
        <v>23.87316402777778</v>
      </c>
      <c r="E230" s="189">
        <v>21.671099444444447</v>
      </c>
      <c r="F230" t="s">
        <v>1112</v>
      </c>
      <c r="G230">
        <v>6.123</v>
      </c>
      <c r="H230">
        <v>1.598</v>
      </c>
      <c r="I230" t="s">
        <v>900</v>
      </c>
      <c r="J230" s="189">
        <v>23.484910444444445</v>
      </c>
      <c r="K230" s="189">
        <v>23.048083611111114</v>
      </c>
      <c r="L230">
        <v>6.44</v>
      </c>
      <c r="M230">
        <v>1.1</v>
      </c>
      <c r="N230" t="s">
        <v>1094</v>
      </c>
      <c r="O230" s="189">
        <v>23.243469972222222</v>
      </c>
      <c r="P230" s="189">
        <v>24.102898055555556</v>
      </c>
      <c r="Q230">
        <v>6.34</v>
      </c>
      <c r="R230">
        <v>0.498</v>
      </c>
    </row>
    <row r="231" spans="1:18" ht="13.5">
      <c r="A231" t="s">
        <v>274</v>
      </c>
      <c r="B231" t="s">
        <v>491</v>
      </c>
      <c r="C231" t="s">
        <v>707</v>
      </c>
      <c r="D231" s="189">
        <v>23.87480227777778</v>
      </c>
      <c r="E231" s="189">
        <v>19.120286944444445</v>
      </c>
      <c r="F231" t="s">
        <v>1112</v>
      </c>
      <c r="G231">
        <v>5.086</v>
      </c>
      <c r="H231">
        <v>1.593</v>
      </c>
      <c r="I231" t="s">
        <v>904</v>
      </c>
      <c r="J231" s="189">
        <v>23.944861444444445</v>
      </c>
      <c r="K231" s="189">
        <v>22.64809138888889</v>
      </c>
      <c r="L231">
        <v>6.161</v>
      </c>
      <c r="M231">
        <v>1.607</v>
      </c>
      <c r="N231" t="s">
        <v>1098</v>
      </c>
      <c r="O231" s="189">
        <v>23.87316402777778</v>
      </c>
      <c r="P231" s="189">
        <v>21.671099444444447</v>
      </c>
      <c r="Q231">
        <v>6.123</v>
      </c>
      <c r="R231">
        <v>0.014</v>
      </c>
    </row>
    <row r="232" spans="1:18" ht="13.5">
      <c r="A232" t="s">
        <v>276</v>
      </c>
      <c r="B232" t="s">
        <v>493</v>
      </c>
      <c r="C232" t="s">
        <v>709</v>
      </c>
      <c r="D232" s="189">
        <v>23.906397888888886</v>
      </c>
      <c r="E232" s="189">
        <v>57.49938222222222</v>
      </c>
      <c r="F232" t="s">
        <v>1192</v>
      </c>
      <c r="G232">
        <v>4.47</v>
      </c>
      <c r="H232">
        <v>1.133</v>
      </c>
      <c r="I232" t="s">
        <v>905</v>
      </c>
      <c r="J232" s="189">
        <v>23.78386641666667</v>
      </c>
      <c r="K232" s="189">
        <v>57.45135888888889</v>
      </c>
      <c r="L232">
        <v>5.513</v>
      </c>
      <c r="M232">
        <v>1.65</v>
      </c>
      <c r="N232" t="s">
        <v>1099</v>
      </c>
      <c r="O232" s="189">
        <v>23.784292972222225</v>
      </c>
      <c r="P232" s="189">
        <v>58.651989444444446</v>
      </c>
      <c r="Q232">
        <v>4.868</v>
      </c>
      <c r="R232">
        <v>0.517</v>
      </c>
    </row>
    <row r="233" spans="1:18" ht="13.5">
      <c r="A233" t="s">
        <v>1295</v>
      </c>
      <c r="B233" t="s">
        <v>1296</v>
      </c>
      <c r="C233" t="s">
        <v>1297</v>
      </c>
      <c r="D233" s="189">
        <v>23.912950916666667</v>
      </c>
      <c r="E233" s="189">
        <v>0.10930861111111112</v>
      </c>
      <c r="F233" t="s">
        <v>1114</v>
      </c>
      <c r="G233">
        <v>5.678</v>
      </c>
      <c r="H233">
        <v>1.6</v>
      </c>
      <c r="I233" t="s">
        <v>1344</v>
      </c>
      <c r="J233" s="189">
        <v>23.813712694444444</v>
      </c>
      <c r="K233" s="189">
        <v>2.2144133333333333</v>
      </c>
      <c r="L233">
        <v>6.459</v>
      </c>
      <c r="M233">
        <v>0.444</v>
      </c>
      <c r="N233" t="s">
        <v>903</v>
      </c>
      <c r="O233" s="189">
        <v>23.866066333333336</v>
      </c>
      <c r="P233" s="189">
        <v>2.9303844444444445</v>
      </c>
      <c r="Q233">
        <v>5.558</v>
      </c>
      <c r="R233">
        <v>1.156</v>
      </c>
    </row>
    <row r="234" spans="1:18" ht="13.5">
      <c r="A234" t="s">
        <v>1298</v>
      </c>
      <c r="B234" t="s">
        <v>1299</v>
      </c>
      <c r="C234" t="s">
        <v>1300</v>
      </c>
      <c r="D234" s="189">
        <v>23.9177925</v>
      </c>
      <c r="E234" s="189">
        <v>28.6336775</v>
      </c>
      <c r="F234" t="s">
        <v>1345</v>
      </c>
      <c r="G234">
        <v>7.44</v>
      </c>
      <c r="H234">
        <v>1.018</v>
      </c>
      <c r="I234" t="s">
        <v>1346</v>
      </c>
      <c r="J234" s="189">
        <v>23.809731555555555</v>
      </c>
      <c r="K234" s="189">
        <v>28.371030833333332</v>
      </c>
      <c r="L234">
        <v>7.03</v>
      </c>
      <c r="M234">
        <v>1.46</v>
      </c>
      <c r="N234" t="s">
        <v>1354</v>
      </c>
      <c r="O234" s="189">
        <v>23.90824725</v>
      </c>
      <c r="P234" s="189">
        <v>29.638242777777776</v>
      </c>
      <c r="Q234">
        <v>8.52</v>
      </c>
      <c r="R234">
        <v>0.442</v>
      </c>
    </row>
    <row r="235" spans="1:18" ht="13.5">
      <c r="A235" t="s">
        <v>1301</v>
      </c>
      <c r="B235" t="s">
        <v>1302</v>
      </c>
      <c r="C235" t="s">
        <v>1303</v>
      </c>
      <c r="D235" s="189">
        <v>23.944861444444445</v>
      </c>
      <c r="E235" s="189">
        <v>22.64809138888889</v>
      </c>
      <c r="F235" t="s">
        <v>1112</v>
      </c>
      <c r="G235">
        <v>6.161</v>
      </c>
      <c r="H235">
        <v>1.607</v>
      </c>
      <c r="I235" t="s">
        <v>900</v>
      </c>
      <c r="J235" s="189">
        <v>23.484910444444445</v>
      </c>
      <c r="K235" s="189">
        <v>23.048083611111114</v>
      </c>
      <c r="L235">
        <v>6.44</v>
      </c>
      <c r="M235">
        <v>1.1</v>
      </c>
      <c r="N235" t="s">
        <v>1094</v>
      </c>
      <c r="O235" s="189">
        <v>23.243469972222222</v>
      </c>
      <c r="P235" s="189">
        <v>24.102898055555556</v>
      </c>
      <c r="Q235">
        <v>6.34</v>
      </c>
      <c r="R235">
        <v>0.507</v>
      </c>
    </row>
    <row r="239" spans="12:17" ht="13.5">
      <c r="L239" s="17"/>
      <c r="Q239" s="17"/>
    </row>
  </sheetData>
  <sheetProtection sheet="1" objects="1" scenarios="1" selectLockedCells="1" selectUnlockedCells="1"/>
  <printOptions/>
  <pageMargins left="0.7875" right="0.7875" top="1.025" bottom="1.025" header="0.7875" footer="0.7875"/>
  <pageSetup horizontalDpi="300" verticalDpi="300" orientation="portrait" paperSize="9"/>
  <headerFooter alignWithMargins="0">
    <oddHeader>&amp;C&amp;A</oddHeader>
    <oddFooter>&amp;CPagina &amp;P</oddFooter>
  </headerFooter>
</worksheet>
</file>

<file path=xl/worksheets/sheet6.xml><?xml version="1.0" encoding="utf-8"?>
<worksheet xmlns="http://schemas.openxmlformats.org/spreadsheetml/2006/main" xmlns:r="http://schemas.openxmlformats.org/officeDocument/2006/relationships">
  <dimension ref="A1:O8"/>
  <sheetViews>
    <sheetView tabSelected="1" zoomScalePageLayoutView="0" workbookViewId="0" topLeftCell="A1">
      <selection activeCell="O9" sqref="O9"/>
    </sheetView>
  </sheetViews>
  <sheetFormatPr defaultColWidth="11.421875" defaultRowHeight="12.75"/>
  <cols>
    <col min="1" max="1" width="10.8515625" style="46" customWidth="1"/>
    <col min="2" max="2" width="16.7109375" style="46" bestFit="1" customWidth="1"/>
    <col min="3" max="7" width="10.8515625" style="46" customWidth="1"/>
    <col min="8" max="8" width="13.421875" style="46" customWidth="1"/>
    <col min="9" max="9" width="10.8515625" style="46" customWidth="1"/>
    <col min="10" max="10" width="12.7109375" style="46" customWidth="1"/>
    <col min="11" max="14" width="10.8515625" style="46" customWidth="1"/>
    <col min="15" max="15" width="18.8515625" style="46" bestFit="1" customWidth="1"/>
    <col min="16" max="16384" width="10.8515625" style="46" customWidth="1"/>
  </cols>
  <sheetData>
    <row r="1" spans="1:15" ht="16.5">
      <c r="A1" s="201" t="s">
        <v>1233</v>
      </c>
      <c r="B1" s="201"/>
      <c r="C1" s="201"/>
      <c r="D1" s="201"/>
      <c r="E1" s="201"/>
      <c r="F1" s="201"/>
      <c r="G1" s="201"/>
      <c r="H1" s="201"/>
      <c r="I1" s="201"/>
      <c r="J1" s="201"/>
      <c r="K1" s="201"/>
      <c r="L1" s="201"/>
      <c r="M1" s="201"/>
      <c r="N1" s="201"/>
      <c r="O1" s="201"/>
    </row>
    <row r="2" spans="1:15" ht="16.5">
      <c r="A2" s="201" t="str">
        <f>_xlfn.CONCAT("#OBSCODE=",'Data Observer'!$B$7)</f>
        <v>#OBSCODE=</v>
      </c>
      <c r="B2" s="201"/>
      <c r="C2" s="201"/>
      <c r="D2" s="201"/>
      <c r="E2" s="201"/>
      <c r="F2" s="201"/>
      <c r="G2" s="201"/>
      <c r="H2" s="201"/>
      <c r="I2" s="201"/>
      <c r="J2" s="201"/>
      <c r="K2" s="201"/>
      <c r="L2" s="201"/>
      <c r="M2" s="201"/>
      <c r="N2" s="201"/>
      <c r="O2" s="201"/>
    </row>
    <row r="3" spans="1:15" ht="16.5">
      <c r="A3" s="201" t="s">
        <v>1389</v>
      </c>
      <c r="B3" s="201"/>
      <c r="C3" s="201"/>
      <c r="D3" s="201"/>
      <c r="E3" s="201"/>
      <c r="F3" s="201"/>
      <c r="G3" s="201"/>
      <c r="H3" s="201"/>
      <c r="I3" s="201"/>
      <c r="J3" s="201"/>
      <c r="K3" s="201"/>
      <c r="L3" s="201"/>
      <c r="M3" s="201"/>
      <c r="N3" s="201"/>
      <c r="O3" s="201"/>
    </row>
    <row r="4" spans="1:15" ht="16.5">
      <c r="A4" s="201" t="s">
        <v>1234</v>
      </c>
      <c r="B4" s="201"/>
      <c r="C4" s="201"/>
      <c r="D4" s="201"/>
      <c r="E4" s="201"/>
      <c r="F4" s="201"/>
      <c r="G4" s="201"/>
      <c r="H4" s="201"/>
      <c r="I4" s="201"/>
      <c r="J4" s="201"/>
      <c r="K4" s="201"/>
      <c r="L4" s="201"/>
      <c r="M4" s="201"/>
      <c r="N4" s="201"/>
      <c r="O4" s="201"/>
    </row>
    <row r="5" spans="1:15" ht="16.5">
      <c r="A5" s="202" t="s">
        <v>1235</v>
      </c>
      <c r="B5" s="202"/>
      <c r="C5" s="202"/>
      <c r="D5" s="202"/>
      <c r="E5" s="202"/>
      <c r="F5" s="202"/>
      <c r="G5" s="202"/>
      <c r="H5" s="202"/>
      <c r="I5" s="202"/>
      <c r="J5" s="202"/>
      <c r="K5" s="202"/>
      <c r="L5" s="202"/>
      <c r="M5" s="202"/>
      <c r="N5" s="202"/>
      <c r="O5" s="202"/>
    </row>
    <row r="6" spans="1:15" ht="16.5">
      <c r="A6" s="202" t="s">
        <v>1236</v>
      </c>
      <c r="B6" s="202"/>
      <c r="C6" s="202"/>
      <c r="D6" s="202"/>
      <c r="E6" s="202"/>
      <c r="F6" s="202"/>
      <c r="G6" s="202"/>
      <c r="H6" s="202"/>
      <c r="I6" s="202"/>
      <c r="J6" s="202"/>
      <c r="K6" s="202"/>
      <c r="L6" s="202"/>
      <c r="M6" s="202"/>
      <c r="N6" s="202"/>
      <c r="O6" s="202"/>
    </row>
    <row r="7" spans="1:15" ht="16.5">
      <c r="A7" s="46">
        <f>'V-band Data Entry'!$C$5</f>
        <v>0</v>
      </c>
      <c r="B7" s="51">
        <f>ROUND('V-band Data Entry'!$K$36,4)</f>
        <v>2415018.5</v>
      </c>
      <c r="C7" s="47" t="e">
        <f>ROUND('V-band Data Entry'!$K$29,3)</f>
        <v>#DIV/0!</v>
      </c>
      <c r="D7" s="48" t="e">
        <f>'V-band Data Entry'!$K$31</f>
        <v>#DIV/0!</v>
      </c>
      <c r="E7" s="46" t="str">
        <f>'V-band Data Entry'!$C$4</f>
        <v>V</v>
      </c>
      <c r="F7" s="46" t="s">
        <v>1237</v>
      </c>
      <c r="G7" s="46" t="s">
        <v>1238</v>
      </c>
      <c r="H7" s="46" t="e">
        <f>'V-band Data Entry'!$C$6</f>
        <v>#N/A</v>
      </c>
      <c r="I7" s="48" t="e">
        <f>ROUND('V-band Data Entry'!$D$36,3)</f>
        <v>#DIV/0!</v>
      </c>
      <c r="J7" s="46" t="e">
        <f>'V-band Data Entry'!$C$7</f>
        <v>#N/A</v>
      </c>
      <c r="K7" s="48" t="e">
        <f>ROUND('V-band Data Entry'!$D$38,3)</f>
        <v>#DIV/0!</v>
      </c>
      <c r="L7" s="62" t="e">
        <f>ROUND('V-band Data Entry'!$C$34,2)</f>
        <v>#N/A</v>
      </c>
      <c r="M7" s="46" t="s">
        <v>1239</v>
      </c>
      <c r="N7" s="46" t="s">
        <v>1375</v>
      </c>
      <c r="O7" s="46" t="e">
        <f>IF('V-band Data Entry'!$F$2=0,"| SCOPE="&amp;'Data Observer'!$B$12&amp;" | SENSOR="&amp;'Data Observer'!$B$13&amp;" | LOC="&amp;ROUND('Data Observer'!$F$9,1)&amp;'Data Observer'!$E$9&amp;"/"&amp;ROUND('Data Observer'!$F$10,1)&amp;'Data Observer'!$E$10&amp;" | INDEX=BV | "&amp;"TV_BV="&amp;'Data Observer'!$B$15&amp;IF('Data Observer'!$H$17="Y"," | K_V_EST="&amp;'Data Observer'!$B$17," | K_V="&amp;'Data Observer'!$B$17)&amp;" | DELTA="&amp;ROUND(Calculations!AB6,3)&amp;" | CREFMAG="&amp;ROUND('V-band Data Entry'!$K$6,3)&amp;" | PROG=PEP_BV_v1.5.xls |","| "&amp;'V-band Data Entry'!$F$2&amp;" | SCOPE="&amp;'Data Observer'!$B$12&amp;" | SENSOR="&amp;'Data Observer'!$B$13&amp;" | LOC="&amp;ROUND('Data Observer'!$F$9,1)&amp;'Data Observer'!$E$9&amp;"/"&amp;ROUND('Data Observer'!$F$10,1)&amp;'Data Observer'!$E$10&amp;" | INDEX=BV | "&amp;"TV_BV="&amp;'Data Observer'!$B$15&amp;IF('Data Observer'!$H$17="Y"," | K_V_EST="&amp;'Data Observer'!$B$17," | K_V="&amp;'Data Observer'!$B$17)&amp;" | DELTA="&amp;ROUND(Calculations!AB6,3)&amp;" | CREFMAG="&amp;ROUND('V-band Data Entry'!$K$6,3)&amp;" | PROG=PEP_BV_v1.6.xls |")</f>
        <v>#DIV/0!</v>
      </c>
    </row>
    <row r="8" spans="1:15" ht="16.5">
      <c r="A8" s="46">
        <f>'B-band Data Entry'!$C$5</f>
        <v>0</v>
      </c>
      <c r="B8" s="51">
        <f>ROUND('B-band Data Entry'!$K$36,4)</f>
        <v>2415018.5</v>
      </c>
      <c r="C8" s="47" t="e">
        <f>ROUND('B-band Data Entry'!$K$29,3)</f>
        <v>#DIV/0!</v>
      </c>
      <c r="D8" s="48" t="e">
        <f>'B-band Data Entry'!$K$31</f>
        <v>#DIV/0!</v>
      </c>
      <c r="E8" s="46" t="str">
        <f>'B-band Data Entry'!$C$4</f>
        <v>B</v>
      </c>
      <c r="F8" s="46" t="s">
        <v>1237</v>
      </c>
      <c r="G8" s="46" t="s">
        <v>1238</v>
      </c>
      <c r="H8" s="46" t="e">
        <f>'B-band Data Entry'!$C$6</f>
        <v>#N/A</v>
      </c>
      <c r="I8" s="48" t="e">
        <f>ROUND('B-band Data Entry'!$D$36,3)</f>
        <v>#DIV/0!</v>
      </c>
      <c r="J8" s="46" t="e">
        <f>'B-band Data Entry'!$C$7</f>
        <v>#N/A</v>
      </c>
      <c r="K8" s="48" t="e">
        <f>ROUND('B-band Data Entry'!$D$38,3)</f>
        <v>#DIV/0!</v>
      </c>
      <c r="L8" s="62" t="e">
        <f>ROUND('B-band Data Entry'!$C$34,2)</f>
        <v>#N/A</v>
      </c>
      <c r="M8" s="46" t="s">
        <v>1239</v>
      </c>
      <c r="N8" s="46" t="s">
        <v>1375</v>
      </c>
      <c r="O8" s="61" t="e">
        <f>IF('V-band Data Entry'!$F$2=0,"| SCOPE="&amp;'Data Observer'!$B$12&amp;" | SENSOR="&amp;'Data Observer'!$B$13&amp;" | LOC="&amp;ROUND('Data Observer'!$F$9,1)&amp;'Data Observer'!$E$9&amp;"/"&amp;ROUND('Data Observer'!$F$10,1)&amp;'Data Observer'!$E$10&amp;" | INDEX=BV | "&amp;"TB_BV="&amp;'Data Observer'!$B$16&amp;IF('Data Observer'!$H$18="Y"," | K_B_EST="&amp;'Data Observer'!$B$18," | K_B="&amp;'Data Observer'!$B$18)&amp;IF('Data Observer'!$H$19="Y"," | KK_BV_EST="&amp;'Data Observer'!$B$19," | KK_BV="&amp;'Data Observer'!$B$19)&amp;" | DELTA="&amp;ROUND(Calculations!AB6,3)&amp;" | CREFMAG="&amp;ROUND('B-band Data Entry'!$K$6,3)&amp;" | PROG=PEP_BV_v1.5.xls |","| "&amp;'V-band Data Entry'!$F$2&amp;" | SCOPE="&amp;'Data Observer'!$B$12&amp;" | SENSOR="&amp;'Data Observer'!$B$13&amp;" | LOC="&amp;ROUND('Data Observer'!$F$9,1)&amp;'Data Observer'!$E$9&amp;"/"&amp;ROUND('Data Observer'!$F$10,1)&amp;'Data Observer'!$E$10&amp;" | INDEX=BV | "&amp;"TB_BV="&amp;'Data Observer'!$B$16&amp;IF('Data Observer'!$H$18="Y"," | K_B_EST="&amp;'Data Observer'!$B$18," | K_B="&amp;'Data Observer'!$B$18)&amp;IF('Data Observer'!$H$19="Y"," | KK_BV_EST="&amp;'Data Observer'!$B$19," | KK_BV="&amp;'Data Observer'!$B$19)&amp;" | DELTA="&amp;ROUND(Calculations!AB6,3)&amp;" | CREFMAG="&amp;ROUND('B-band Data Entry'!$K$6,3)&amp;" | PROG=PEP_BV_v1.6.xls |")</f>
        <v>#DIV/0!</v>
      </c>
    </row>
  </sheetData>
  <sheetProtection sheet="1" objects="1" scenarios="1" selectLockedCells="1" selectUnlockedCells="1"/>
  <mergeCells count="6">
    <mergeCell ref="A1:O1"/>
    <mergeCell ref="A2:O2"/>
    <mergeCell ref="A3:O3"/>
    <mergeCell ref="A4:O4"/>
    <mergeCell ref="A5:O5"/>
    <mergeCell ref="A6:O6"/>
  </mergeCells>
  <printOptions/>
  <pageMargins left="0.75" right="0.75" top="1" bottom="1"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9"/>
  <sheetViews>
    <sheetView zoomScalePageLayoutView="0" workbookViewId="0" topLeftCell="A1">
      <selection activeCell="A30" sqref="A30"/>
    </sheetView>
  </sheetViews>
  <sheetFormatPr defaultColWidth="11.421875" defaultRowHeight="12.75"/>
  <cols>
    <col min="1" max="1" width="119.00390625" style="37" customWidth="1"/>
    <col min="2" max="16384" width="10.8515625" style="37" customWidth="1"/>
  </cols>
  <sheetData>
    <row r="1" ht="16.5">
      <c r="A1" s="52" t="s">
        <v>1241</v>
      </c>
    </row>
    <row r="2" ht="15.75">
      <c r="A2" s="52"/>
    </row>
    <row r="3" ht="67.5">
      <c r="A3" s="53" t="s">
        <v>1377</v>
      </c>
    </row>
    <row r="4" ht="15.75">
      <c r="A4" s="52"/>
    </row>
    <row r="5" ht="51">
      <c r="A5" s="53" t="s">
        <v>1356</v>
      </c>
    </row>
    <row r="6" ht="33.75">
      <c r="A6" s="52" t="s">
        <v>1378</v>
      </c>
    </row>
    <row r="7" ht="15.75">
      <c r="A7" s="52"/>
    </row>
    <row r="8" ht="16.5">
      <c r="A8" s="53" t="s">
        <v>1240</v>
      </c>
    </row>
    <row r="9" ht="33.75">
      <c r="A9" s="52" t="s">
        <v>1378</v>
      </c>
    </row>
    <row r="10" ht="15.75">
      <c r="A10" s="52"/>
    </row>
    <row r="11" ht="33.75">
      <c r="A11" s="52" t="s">
        <v>1256</v>
      </c>
    </row>
    <row r="12" ht="15.75">
      <c r="A12" s="52"/>
    </row>
    <row r="13" ht="33.75">
      <c r="A13" s="187" t="s">
        <v>1392</v>
      </c>
    </row>
    <row r="14" ht="15.75">
      <c r="A14" s="52"/>
    </row>
    <row r="15" ht="51">
      <c r="A15" s="52" t="s">
        <v>1244</v>
      </c>
    </row>
    <row r="16" ht="33.75">
      <c r="A16" s="52" t="s">
        <v>1243</v>
      </c>
    </row>
    <row r="17" ht="51">
      <c r="A17" s="52" t="s">
        <v>1262</v>
      </c>
    </row>
    <row r="19" ht="15.75">
      <c r="A19" s="188" t="s">
        <v>1393</v>
      </c>
    </row>
  </sheetData>
  <sheetProtection/>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created xsi:type="dcterms:W3CDTF">2010-03-21T13:37:47Z</dcterms:created>
  <dcterms:modified xsi:type="dcterms:W3CDTF">2019-06-28T18:47:39Z</dcterms:modified>
  <cp:category/>
  <cp:version/>
  <cp:contentType/>
  <cp:contentStatus/>
</cp:coreProperties>
</file>